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undp-my.sharepoint.com/personal/johanna_veloz_undp_org/Documents/EEQ/Nuevo proyecto eee 22-23/presupuesto/POA modi abril 23-agost 24,25/enmienda 4/"/>
    </mc:Choice>
  </mc:AlternateContent>
  <xr:revisionPtr revIDLastSave="1389" documentId="8_{E0FBD868-CF84-4550-A1FB-78A1EB128BF0}" xr6:coauthVersionLast="47" xr6:coauthVersionMax="47" xr10:uidLastSave="{205EC9FB-51E8-40DB-873B-B2F02889D3AD}"/>
  <bookViews>
    <workbookView xWindow="20370" yWindow="-120" windowWidth="29040" windowHeight="15720" firstSheet="2" activeTab="2" xr2:uid="{9472D41A-BAC3-4697-965D-F0412D0FDC47}"/>
  </bookViews>
  <sheets>
    <sheet name="AOP (2)" sheetId="1" state="hidden" r:id="rId1"/>
    <sheet name="AOP (3)" sheetId="2" state="hidden" r:id="rId2"/>
    <sheet name="AOP.FASE2. 2024" sheetId="3" r:id="rId3"/>
    <sheet name="Hoja1" sheetId="11" r:id="rId4"/>
    <sheet name="F2- POA" sheetId="10" r:id="rId5"/>
  </sheets>
  <definedNames>
    <definedName name="_xlnm._FilterDatabase" localSheetId="0" hidden="1">'AOP (2)'!$B$7:$AN$7</definedName>
    <definedName name="_xlnm._FilterDatabase" localSheetId="1" hidden="1">'AOP (3)'!$B$7:$AN$7</definedName>
    <definedName name="_xlnm._FilterDatabase" localSheetId="2" hidden="1">'AOP.FASE2. 2024'!$B$7:$AL$7</definedName>
    <definedName name="_xlnm._FilterDatabase" localSheetId="4" hidden="1">'F2- POA'!$A$10:$E$45</definedName>
    <definedName name="ACTIVITY">OFFSET(#REF!, 0, 0, COUNTA(#REF!), 1)</definedName>
    <definedName name="aop">!#REF!</definedName>
    <definedName name="_xlnm.Print_Area" localSheetId="0">'AOP (2)'!$B$1:$X$30</definedName>
    <definedName name="_xlnm.Print_Area" localSheetId="1">'AOP (3)'!$B$1:$X$31</definedName>
    <definedName name="_xlnm.Print_Area" localSheetId="2">'AOP.FASE2. 2024'!$B$1:$V$25</definedName>
    <definedName name="_xlnm.Print_Area" localSheetId="4">'F2- POA'!$C$4:$E$44</definedName>
    <definedName name="BDESC">#REF!</definedName>
    <definedName name="Categorias">OFFSET(#REF!, 0, 0, COUNTA(#REF!) - 2)</definedName>
    <definedName name="COPIAHP">#REF!</definedName>
    <definedName name="CV">!#REF!</definedName>
    <definedName name="df">!#REF!</definedName>
    <definedName name="DiasCategorias">#REF!</definedName>
    <definedName name="FechaInicio">#REF!</definedName>
    <definedName name="FINOTHER">#REF!</definedName>
    <definedName name="FINSOU">#REF!</definedName>
    <definedName name="FINUNDP">#REF!</definedName>
    <definedName name="HEAD">!#REF!</definedName>
    <definedName name="IDCategorias">OFFSET(#REF!, 0, 0, COUNTA(#REF!) - 2)</definedName>
    <definedName name="INPUT">OFFSET(#REF!, 0, 0, COUNTA(#REF!), 1)</definedName>
    <definedName name="new">!#REF!</definedName>
    <definedName name="NJIHBU">!#REF!</definedName>
    <definedName name="NOMINCAC">!#REF!</definedName>
    <definedName name="OUTPUT">#REF!</definedName>
    <definedName name="PAYROLL">!#REF!</definedName>
    <definedName name="QUARTER2">!#REF!</definedName>
    <definedName name="QUARTER3">OFFSET(#REF!, 0, 0, COUNTIF(#REF!, "?*"), 1)</definedName>
    <definedName name="RangoCompleto">#REF!,#REF!,#REF!,#REF!,#REF!,#REF!,#REF!,#REF!,#REF!,#REF!,#REF!,#REF!</definedName>
    <definedName name="RangoMensual">#REF!,#REF!,#REF!,#REF!,#REF!,#REF!,#REF!,#REF!,#REF!,#REF!,#REF!,#REF!</definedName>
    <definedName name="RangoSemanal">!#REF!</definedName>
    <definedName name="REAL">!#REF!</definedName>
    <definedName name="REAL2">!#REF!</definedName>
    <definedName name="REAL2021">!#REF!</definedName>
    <definedName name="SALDO">!#REF!</definedName>
    <definedName name="SALDO1">!#REF!</definedName>
    <definedName name="SALDOOOO">!#REF!</definedName>
    <definedName name="SEARCHINPUT">!#REF!</definedName>
    <definedName name="UNIT">#REF!</definedName>
    <definedName name="X">!#REF!</definedName>
    <definedName name="XX">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" i="3" l="1"/>
  <c r="S28" i="3" l="1"/>
  <c r="S27" i="3"/>
  <c r="S8" i="3"/>
  <c r="T8" i="3"/>
  <c r="U8" i="3"/>
  <c r="U33" i="2"/>
  <c r="T33" i="2"/>
  <c r="W33" i="2" l="1"/>
  <c r="Q9" i="2"/>
  <c r="O8" i="3"/>
  <c r="S10" i="3" l="1"/>
  <c r="S11" i="3"/>
  <c r="S12" i="3"/>
  <c r="S13" i="3"/>
  <c r="S14" i="3"/>
  <c r="S15" i="3"/>
  <c r="S16" i="3"/>
  <c r="S17" i="3"/>
  <c r="S18" i="3"/>
  <c r="S20" i="3"/>
  <c r="S21" i="3"/>
  <c r="S22" i="3"/>
  <c r="W13" i="2" l="1"/>
  <c r="W12" i="2"/>
  <c r="W11" i="2"/>
  <c r="W10" i="2"/>
  <c r="W9" i="2"/>
  <c r="V8" i="2"/>
  <c r="U9" i="2"/>
  <c r="W18" i="2"/>
  <c r="W20" i="2"/>
  <c r="W21" i="2"/>
  <c r="W8" i="2"/>
  <c r="R34" i="2"/>
  <c r="R33" i="2"/>
  <c r="R9" i="2"/>
  <c r="O8" i="2" l="1"/>
  <c r="B7" i="10"/>
  <c r="B6" i="10"/>
  <c r="B5" i="10"/>
  <c r="B8" i="10" s="1"/>
  <c r="D12" i="10"/>
  <c r="D38" i="10"/>
  <c r="E38" i="10"/>
  <c r="E12" i="10"/>
  <c r="D11" i="10" l="1"/>
  <c r="E11" i="10"/>
  <c r="K37" i="2" l="1"/>
  <c r="K35" i="2"/>
  <c r="K19" i="2"/>
  <c r="K33" i="2"/>
  <c r="H33" i="2"/>
  <c r="N9" i="3" l="1"/>
  <c r="S9" i="3" s="1"/>
  <c r="N19" i="3" l="1"/>
  <c r="S19" i="3" s="1"/>
  <c r="H22" i="3"/>
  <c r="H21" i="3"/>
  <c r="Q21" i="3" s="1"/>
  <c r="H19" i="3"/>
  <c r="Q19" i="3" s="1"/>
  <c r="K10" i="3"/>
  <c r="R10" i="3" s="1"/>
  <c r="J9" i="3"/>
  <c r="H9" i="3"/>
  <c r="Q9" i="3" s="1"/>
  <c r="H8" i="3"/>
  <c r="M23" i="3"/>
  <c r="M25" i="3" s="1"/>
  <c r="I23" i="3"/>
  <c r="I25" i="3" s="1"/>
  <c r="O22" i="3"/>
  <c r="J22" i="3"/>
  <c r="Q20" i="3"/>
  <c r="O20" i="3"/>
  <c r="J20" i="3"/>
  <c r="K20" i="3" s="1"/>
  <c r="Q18" i="3"/>
  <c r="O18" i="3"/>
  <c r="K18" i="3"/>
  <c r="R18" i="3" s="1"/>
  <c r="T18" i="3" s="1"/>
  <c r="Q17" i="3"/>
  <c r="K17" i="3"/>
  <c r="R17" i="3" s="1"/>
  <c r="Q16" i="3"/>
  <c r="O16" i="3"/>
  <c r="K16" i="3"/>
  <c r="R16" i="3" s="1"/>
  <c r="T16" i="3" s="1"/>
  <c r="Q15" i="3"/>
  <c r="K15" i="3"/>
  <c r="R15" i="3" s="1"/>
  <c r="Q14" i="3"/>
  <c r="O14" i="3"/>
  <c r="K14" i="3"/>
  <c r="Q13" i="3"/>
  <c r="O13" i="3"/>
  <c r="K13" i="3"/>
  <c r="Q12" i="3"/>
  <c r="O12" i="3"/>
  <c r="J12" i="3"/>
  <c r="Q11" i="3"/>
  <c r="O11" i="3"/>
  <c r="K11" i="3"/>
  <c r="R11" i="3" s="1"/>
  <c r="T11" i="3" s="1"/>
  <c r="O9" i="3"/>
  <c r="K8" i="3" l="1"/>
  <c r="Q8" i="3"/>
  <c r="U15" i="3"/>
  <c r="T15" i="3"/>
  <c r="U10" i="3"/>
  <c r="T10" i="3"/>
  <c r="K19" i="3"/>
  <c r="R19" i="3" s="1"/>
  <c r="T19" i="3" s="1"/>
  <c r="U17" i="3"/>
  <c r="T17" i="3"/>
  <c r="K9" i="3"/>
  <c r="R9" i="3" s="1"/>
  <c r="T9" i="3" s="1"/>
  <c r="U18" i="3"/>
  <c r="R13" i="3"/>
  <c r="U16" i="3"/>
  <c r="J23" i="3"/>
  <c r="J25" i="3" s="1"/>
  <c r="U11" i="3"/>
  <c r="H23" i="3"/>
  <c r="H25" i="3" s="1"/>
  <c r="K21" i="3"/>
  <c r="P14" i="3"/>
  <c r="O21" i="3"/>
  <c r="N23" i="3"/>
  <c r="N25" i="3" s="1"/>
  <c r="O19" i="3"/>
  <c r="P8" i="3"/>
  <c r="K22" i="3"/>
  <c r="P22" i="3" s="1"/>
  <c r="Q22" i="3"/>
  <c r="Q23" i="3" s="1"/>
  <c r="P16" i="3"/>
  <c r="S23" i="3"/>
  <c r="S25" i="3" s="1"/>
  <c r="P18" i="3"/>
  <c r="P11" i="3"/>
  <c r="R20" i="3"/>
  <c r="T20" i="3" s="1"/>
  <c r="P20" i="3"/>
  <c r="R14" i="3"/>
  <c r="P13" i="3"/>
  <c r="K12" i="3"/>
  <c r="P21" i="3" l="1"/>
  <c r="U9" i="3"/>
  <c r="P9" i="3"/>
  <c r="Q25" i="3"/>
  <c r="U13" i="3"/>
  <c r="T13" i="3"/>
  <c r="U14" i="3"/>
  <c r="T14" i="3"/>
  <c r="R21" i="3"/>
  <c r="T21" i="3" s="1"/>
  <c r="R22" i="3"/>
  <c r="T22" i="3" s="1"/>
  <c r="U19" i="3"/>
  <c r="O23" i="3"/>
  <c r="O25" i="3" s="1"/>
  <c r="P19" i="3"/>
  <c r="R12" i="3"/>
  <c r="T12" i="3" s="1"/>
  <c r="K23" i="3"/>
  <c r="P12" i="3"/>
  <c r="U20" i="3"/>
  <c r="U22" i="3" l="1"/>
  <c r="U21" i="3"/>
  <c r="U12" i="3"/>
  <c r="U23" i="3" s="1"/>
  <c r="U25" i="3" s="1"/>
  <c r="P23" i="3"/>
  <c r="P25" i="3" s="1"/>
  <c r="K25" i="3"/>
  <c r="R23" i="3"/>
  <c r="R25" i="3" s="1"/>
  <c r="V14" i="2"/>
  <c r="U14" i="2"/>
  <c r="R14" i="2"/>
  <c r="Q14" i="2"/>
  <c r="K14" i="2"/>
  <c r="J19" i="2"/>
  <c r="T29" i="2"/>
  <c r="N29" i="2"/>
  <c r="N31" i="2" s="1"/>
  <c r="M29" i="2"/>
  <c r="M31" i="2" s="1"/>
  <c r="J29" i="2"/>
  <c r="I29" i="2"/>
  <c r="W28" i="2"/>
  <c r="Q28" i="2"/>
  <c r="O28" i="2"/>
  <c r="K28" i="2"/>
  <c r="P28" i="2" s="1"/>
  <c r="W27" i="2"/>
  <c r="O27" i="2"/>
  <c r="W26" i="2"/>
  <c r="O26" i="2"/>
  <c r="W25" i="2"/>
  <c r="K25" i="2"/>
  <c r="R25" i="2" s="1"/>
  <c r="W24" i="2"/>
  <c r="Q24" i="2"/>
  <c r="O24" i="2"/>
  <c r="K24" i="2"/>
  <c r="R24" i="2" s="1"/>
  <c r="W23" i="2"/>
  <c r="Q23" i="2"/>
  <c r="O23" i="2"/>
  <c r="H23" i="2"/>
  <c r="T22" i="2"/>
  <c r="N22" i="2"/>
  <c r="M22" i="2"/>
  <c r="I22" i="2"/>
  <c r="H22" i="2"/>
  <c r="Q21" i="2"/>
  <c r="O21" i="2"/>
  <c r="J21" i="2"/>
  <c r="K21" i="2" s="1"/>
  <c r="Q20" i="2"/>
  <c r="O20" i="2"/>
  <c r="K20" i="2"/>
  <c r="R20" i="2" s="1"/>
  <c r="W19" i="2"/>
  <c r="Q19" i="2"/>
  <c r="O19" i="2"/>
  <c r="Q18" i="2"/>
  <c r="O18" i="2"/>
  <c r="K18" i="2"/>
  <c r="R18" i="2" s="1"/>
  <c r="W17" i="2"/>
  <c r="Q17" i="2"/>
  <c r="P17" i="2"/>
  <c r="O17" i="2"/>
  <c r="K17" i="2"/>
  <c r="R17" i="2" s="1"/>
  <c r="U17" i="2" s="1"/>
  <c r="W16" i="2"/>
  <c r="Q16" i="2"/>
  <c r="K16" i="2"/>
  <c r="R16" i="2" s="1"/>
  <c r="W15" i="2"/>
  <c r="Q15" i="2"/>
  <c r="P15" i="2"/>
  <c r="O15" i="2"/>
  <c r="K15" i="2"/>
  <c r="R15" i="2" s="1"/>
  <c r="U15" i="2" s="1"/>
  <c r="Q13" i="2"/>
  <c r="O13" i="2"/>
  <c r="K13" i="2"/>
  <c r="Q12" i="2"/>
  <c r="O12" i="2"/>
  <c r="K12" i="2"/>
  <c r="P12" i="2" s="1"/>
  <c r="Q11" i="2"/>
  <c r="O11" i="2"/>
  <c r="J11" i="2"/>
  <c r="Q10" i="2"/>
  <c r="O10" i="2"/>
  <c r="K10" i="2"/>
  <c r="R10" i="2" s="1"/>
  <c r="O9" i="2"/>
  <c r="K9" i="2"/>
  <c r="S8" i="2"/>
  <c r="K8" i="2"/>
  <c r="P8" i="2" s="1"/>
  <c r="T30" i="1"/>
  <c r="N30" i="1"/>
  <c r="T28" i="1"/>
  <c r="N28" i="1"/>
  <c r="M28" i="1"/>
  <c r="M30" i="1" s="1"/>
  <c r="J28" i="1"/>
  <c r="I28" i="1"/>
  <c r="I30" i="1" s="1"/>
  <c r="W27" i="1"/>
  <c r="U27" i="1"/>
  <c r="R27" i="1"/>
  <c r="Q27" i="1"/>
  <c r="S27" i="1" s="1"/>
  <c r="P27" i="1"/>
  <c r="O27" i="1"/>
  <c r="V27" i="1" s="1"/>
  <c r="K27" i="1"/>
  <c r="W26" i="1"/>
  <c r="O26" i="1"/>
  <c r="W25" i="1"/>
  <c r="O25" i="1"/>
  <c r="W24" i="1"/>
  <c r="K24" i="1"/>
  <c r="R24" i="1" s="1"/>
  <c r="W23" i="1"/>
  <c r="R23" i="1"/>
  <c r="U23" i="1" s="1"/>
  <c r="Q23" i="1"/>
  <c r="O23" i="1"/>
  <c r="K23" i="1"/>
  <c r="W22" i="1"/>
  <c r="W28" i="1" s="1"/>
  <c r="W30" i="1" s="1"/>
  <c r="Q22" i="1"/>
  <c r="O22" i="1"/>
  <c r="O28" i="1" s="1"/>
  <c r="H22" i="1"/>
  <c r="T21" i="1"/>
  <c r="N21" i="1"/>
  <c r="M21" i="1"/>
  <c r="I21" i="1"/>
  <c r="H21" i="1"/>
  <c r="W20" i="1"/>
  <c r="Q20" i="1"/>
  <c r="O20" i="1"/>
  <c r="J20" i="1"/>
  <c r="K20" i="1" s="1"/>
  <c r="W19" i="1"/>
  <c r="Q19" i="1"/>
  <c r="O19" i="1"/>
  <c r="P19" i="1" s="1"/>
  <c r="K19" i="1"/>
  <c r="R19" i="1" s="1"/>
  <c r="W18" i="1"/>
  <c r="Q18" i="1"/>
  <c r="O18" i="1"/>
  <c r="J18" i="1"/>
  <c r="K18" i="1" s="1"/>
  <c r="W17" i="1"/>
  <c r="R17" i="1"/>
  <c r="U17" i="1" s="1"/>
  <c r="Q17" i="1"/>
  <c r="O17" i="1"/>
  <c r="P17" i="1" s="1"/>
  <c r="K17" i="1"/>
  <c r="W16" i="1"/>
  <c r="U16" i="1"/>
  <c r="R16" i="1"/>
  <c r="Q16" i="1"/>
  <c r="S16" i="1" s="1"/>
  <c r="P16" i="1"/>
  <c r="O16" i="1"/>
  <c r="V16" i="1" s="1"/>
  <c r="K16" i="1"/>
  <c r="W15" i="1"/>
  <c r="R15" i="1"/>
  <c r="V15" i="1" s="1"/>
  <c r="Q15" i="1"/>
  <c r="K15" i="1"/>
  <c r="W14" i="1"/>
  <c r="U14" i="1"/>
  <c r="R14" i="1"/>
  <c r="Q14" i="1"/>
  <c r="S14" i="1" s="1"/>
  <c r="P14" i="1"/>
  <c r="O14" i="1"/>
  <c r="V14" i="1" s="1"/>
  <c r="K14" i="1"/>
  <c r="W13" i="1"/>
  <c r="R13" i="1"/>
  <c r="V13" i="1" s="1"/>
  <c r="Q13" i="1"/>
  <c r="O13" i="1"/>
  <c r="K13" i="1"/>
  <c r="P13" i="1" s="1"/>
  <c r="W12" i="1"/>
  <c r="R12" i="1"/>
  <c r="V12" i="1" s="1"/>
  <c r="Q12" i="1"/>
  <c r="O12" i="1"/>
  <c r="K12" i="1"/>
  <c r="P12" i="1" s="1"/>
  <c r="W11" i="1"/>
  <c r="Q11" i="1"/>
  <c r="O11" i="1"/>
  <c r="K11" i="1"/>
  <c r="R11" i="1" s="1"/>
  <c r="J11" i="1"/>
  <c r="J21" i="1" s="1"/>
  <c r="J30" i="1" s="1"/>
  <c r="W10" i="1"/>
  <c r="Q10" i="1"/>
  <c r="O10" i="1"/>
  <c r="K10" i="1"/>
  <c r="R10" i="1" s="1"/>
  <c r="W9" i="1"/>
  <c r="W21" i="1" s="1"/>
  <c r="Q9" i="1"/>
  <c r="Q21" i="1" s="1"/>
  <c r="O9" i="1"/>
  <c r="K9" i="1"/>
  <c r="R9" i="1" s="1"/>
  <c r="W8" i="1"/>
  <c r="S8" i="1"/>
  <c r="O8" i="1"/>
  <c r="V8" i="1" s="1"/>
  <c r="K8" i="1"/>
  <c r="R28" i="2" l="1"/>
  <c r="U28" i="2" s="1"/>
  <c r="T23" i="3"/>
  <c r="T25" i="3" s="1"/>
  <c r="W29" i="2"/>
  <c r="P13" i="2"/>
  <c r="J22" i="2"/>
  <c r="J31" i="2" s="1"/>
  <c r="P10" i="2"/>
  <c r="I31" i="2"/>
  <c r="V15" i="2"/>
  <c r="W22" i="2"/>
  <c r="W31" i="2" s="1"/>
  <c r="R12" i="2"/>
  <c r="U12" i="2" s="1"/>
  <c r="V17" i="2"/>
  <c r="V28" i="2"/>
  <c r="V9" i="2"/>
  <c r="T31" i="2"/>
  <c r="Q22" i="2"/>
  <c r="O29" i="2"/>
  <c r="U10" i="2"/>
  <c r="S10" i="2"/>
  <c r="V10" i="2"/>
  <c r="S20" i="2"/>
  <c r="U20" i="2"/>
  <c r="S24" i="2"/>
  <c r="U24" i="2"/>
  <c r="V24" i="2"/>
  <c r="S9" i="2"/>
  <c r="R19" i="2"/>
  <c r="P19" i="2"/>
  <c r="P21" i="2"/>
  <c r="R21" i="2"/>
  <c r="S16" i="2"/>
  <c r="V16" i="2"/>
  <c r="U16" i="2"/>
  <c r="V20" i="2"/>
  <c r="V25" i="2"/>
  <c r="U25" i="2"/>
  <c r="S25" i="2"/>
  <c r="U18" i="2"/>
  <c r="S18" i="2"/>
  <c r="V18" i="2"/>
  <c r="R13" i="2"/>
  <c r="P18" i="2"/>
  <c r="K11" i="2"/>
  <c r="S15" i="2"/>
  <c r="S17" i="2"/>
  <c r="O22" i="2"/>
  <c r="S28" i="2"/>
  <c r="P9" i="2"/>
  <c r="P20" i="2"/>
  <c r="H26" i="2"/>
  <c r="H27" i="2" s="1"/>
  <c r="K23" i="2"/>
  <c r="S24" i="1"/>
  <c r="V24" i="1"/>
  <c r="U24" i="1"/>
  <c r="U9" i="1"/>
  <c r="S9" i="1"/>
  <c r="O30" i="1"/>
  <c r="U11" i="1"/>
  <c r="S11" i="1"/>
  <c r="V11" i="1"/>
  <c r="S19" i="1"/>
  <c r="V19" i="1"/>
  <c r="U19" i="1"/>
  <c r="P20" i="1"/>
  <c r="R20" i="1"/>
  <c r="V9" i="1"/>
  <c r="U10" i="1"/>
  <c r="S10" i="1"/>
  <c r="V10" i="1"/>
  <c r="P18" i="1"/>
  <c r="R18" i="1"/>
  <c r="R21" i="1" s="1"/>
  <c r="P9" i="1"/>
  <c r="U12" i="1"/>
  <c r="S13" i="1"/>
  <c r="S15" i="1"/>
  <c r="S23" i="1"/>
  <c r="K21" i="1"/>
  <c r="P21" i="1" s="1"/>
  <c r="P10" i="1"/>
  <c r="U15" i="1"/>
  <c r="O21" i="1"/>
  <c r="S17" i="1"/>
  <c r="V23" i="1"/>
  <c r="P11" i="1"/>
  <c r="K22" i="1"/>
  <c r="H26" i="1"/>
  <c r="S12" i="1"/>
  <c r="P8" i="1"/>
  <c r="V17" i="1"/>
  <c r="U13" i="1"/>
  <c r="H25" i="1"/>
  <c r="S12" i="2" l="1"/>
  <c r="O31" i="2"/>
  <c r="V12" i="2"/>
  <c r="U19" i="2"/>
  <c r="U22" i="2" s="1"/>
  <c r="S19" i="2"/>
  <c r="V19" i="2"/>
  <c r="U21" i="2"/>
  <c r="V21" i="2"/>
  <c r="S21" i="2"/>
  <c r="K27" i="2"/>
  <c r="R27" i="2" s="1"/>
  <c r="Q27" i="2"/>
  <c r="P23" i="2"/>
  <c r="R23" i="2"/>
  <c r="Q26" i="2"/>
  <c r="K26" i="2"/>
  <c r="R26" i="2" s="1"/>
  <c r="V13" i="2"/>
  <c r="S13" i="2"/>
  <c r="U13" i="2"/>
  <c r="R11" i="2"/>
  <c r="P11" i="2"/>
  <c r="K22" i="2"/>
  <c r="P22" i="2" s="1"/>
  <c r="H29" i="2"/>
  <c r="H31" i="2" s="1"/>
  <c r="S21" i="1"/>
  <c r="V21" i="1"/>
  <c r="Q26" i="1"/>
  <c r="K26" i="1"/>
  <c r="R26" i="1" s="1"/>
  <c r="P22" i="1"/>
  <c r="R22" i="1"/>
  <c r="Q25" i="1"/>
  <c r="Q28" i="1" s="1"/>
  <c r="Q30" i="1" s="1"/>
  <c r="K25" i="1"/>
  <c r="R25" i="1" s="1"/>
  <c r="U18" i="1"/>
  <c r="U21" i="1" s="1"/>
  <c r="V18" i="1"/>
  <c r="S18" i="1"/>
  <c r="H28" i="1"/>
  <c r="H30" i="1" s="1"/>
  <c r="S20" i="1"/>
  <c r="V20" i="1"/>
  <c r="U20" i="1"/>
  <c r="S27" i="2" l="1"/>
  <c r="U27" i="2"/>
  <c r="V27" i="2"/>
  <c r="U26" i="2"/>
  <c r="V26" i="2"/>
  <c r="S26" i="2"/>
  <c r="Q29" i="2"/>
  <c r="Q31" i="2" s="1"/>
  <c r="S23" i="2"/>
  <c r="U23" i="2"/>
  <c r="R29" i="2"/>
  <c r="V23" i="2"/>
  <c r="V11" i="2"/>
  <c r="V22" i="2" s="1"/>
  <c r="U11" i="2"/>
  <c r="S11" i="2"/>
  <c r="S22" i="2" s="1"/>
  <c r="R22" i="2"/>
  <c r="K29" i="2"/>
  <c r="K28" i="1"/>
  <c r="V26" i="1"/>
  <c r="U26" i="1"/>
  <c r="S26" i="1"/>
  <c r="V25" i="1"/>
  <c r="U25" i="1"/>
  <c r="S25" i="1"/>
  <c r="V22" i="1"/>
  <c r="V28" i="1" s="1"/>
  <c r="V30" i="1" s="1"/>
  <c r="U22" i="1"/>
  <c r="U28" i="1" s="1"/>
  <c r="U30" i="1" s="1"/>
  <c r="W32" i="1" s="1"/>
  <c r="W33" i="1" s="1"/>
  <c r="R28" i="1"/>
  <c r="R30" i="1" s="1"/>
  <c r="R32" i="1" s="1"/>
  <c r="S22" i="1"/>
  <c r="V29" i="2" l="1"/>
  <c r="V31" i="2"/>
  <c r="U29" i="2"/>
  <c r="U31" i="2" s="1"/>
  <c r="P29" i="2"/>
  <c r="P31" i="2" s="1"/>
  <c r="K31" i="2"/>
  <c r="S29" i="2"/>
  <c r="S31" i="2" s="1"/>
  <c r="R31" i="2"/>
  <c r="S28" i="1"/>
  <c r="S30" i="1" s="1"/>
  <c r="P28" i="1"/>
  <c r="P30" i="1" s="1"/>
  <c r="K30" i="1"/>
  <c r="W3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Johanna Veloz</author>
  </authors>
  <commentList>
    <comment ref="V16" authorId="0" shapeId="0" xr:uid="{DBB3B3E1-7FA4-4CF0-B47C-CE737DB3AA3C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incluye 90
,del seguro equipos misma linea presupuestaria
</t>
        </r>
      </text>
    </comment>
    <comment ref="M17" authorId="0" shapeId="0" xr:uid="{751CC6B8-61A7-436C-8012-78E4B88122F8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DPC incluye iva del 2021 367,68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Johanna Veloz</author>
  </authors>
  <commentList>
    <comment ref="V17" authorId="0" shapeId="0" xr:uid="{DAD0EA27-AF9E-4CD8-B4B3-70EB30E70CB5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incluye 90
,del seguro equipos misma linea presupuestaria
</t>
        </r>
      </text>
    </comment>
    <comment ref="M18" authorId="0" shapeId="0" xr:uid="{4484EDA2-2B66-443B-A6D7-5F3D05CC0BF3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DPC incluye iva del 2021 367,68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Johanna Veloz</author>
  </authors>
  <commentList>
    <comment ref="U18" authorId="0" shapeId="0" xr:uid="{579071BA-9D2A-4BF2-89B8-3703F201DDF2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incluye 90
,del seguro equipos misma linea presupuestaria
</t>
        </r>
      </text>
    </comment>
    <comment ref="M19" authorId="0" shapeId="0" xr:uid="{0F1F4444-78A8-4743-B915-7208F263A66B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DPC incluye iva del 2021 367,68
</t>
        </r>
      </text>
    </comment>
  </commentList>
</comments>
</file>

<file path=xl/sharedStrings.xml><?xml version="1.0" encoding="utf-8"?>
<sst xmlns="http://schemas.openxmlformats.org/spreadsheetml/2006/main" count="439" uniqueCount="133">
  <si>
    <t xml:space="preserve">Award ID: </t>
  </si>
  <si>
    <t>00904818</t>
  </si>
  <si>
    <t xml:space="preserve">Award Title: </t>
  </si>
  <si>
    <t>EEQ fase 2</t>
  </si>
  <si>
    <t xml:space="preserve">Project ID: </t>
  </si>
  <si>
    <t>00110180</t>
  </si>
  <si>
    <t xml:space="preserve">Project Title: </t>
  </si>
  <si>
    <t>FORTALEC. GESTION AMBIENTAL</t>
  </si>
  <si>
    <t xml:space="preserve">Executing Agency: </t>
  </si>
  <si>
    <t>PNUD</t>
  </si>
  <si>
    <t>POA PRODOC ENMIENDA 2</t>
  </si>
  <si>
    <t>Outcome/Atlas Activity</t>
  </si>
  <si>
    <t>Fund ID</t>
  </si>
  <si>
    <t>Donor Name</t>
  </si>
  <si>
    <t>Implementing
agent</t>
  </si>
  <si>
    <t>Atlas Budgetary Account Code</t>
  </si>
  <si>
    <t>ATLAS Budget Description</t>
  </si>
  <si>
    <t>Amount (USD) Year 2023</t>
  </si>
  <si>
    <t>Incremento 2023</t>
  </si>
  <si>
    <t>Ajuste 2024</t>
  </si>
  <si>
    <t>Total IP (USD)</t>
  </si>
  <si>
    <t>Ejecutado 2023</t>
  </si>
  <si>
    <t>Ejecutado octubre 2024</t>
  </si>
  <si>
    <r>
      <t xml:space="preserve">Disbursement till December 2023
</t>
    </r>
    <r>
      <rPr>
        <b/>
        <i/>
        <sz val="10"/>
        <color theme="0"/>
        <rFont val="Aptos Narrow"/>
        <family val="2"/>
        <scheme val="minor"/>
      </rPr>
      <t>(cummulative years until last official CDR)</t>
    </r>
  </si>
  <si>
    <t>% Delivery per item</t>
  </si>
  <si>
    <t>A
Approved budget revision 2024 (1)</t>
  </si>
  <si>
    <t>B
Proposed budget revision (2024) (2)</t>
  </si>
  <si>
    <t>C
Difference
(B-A)</t>
  </si>
  <si>
    <t>Amount (USD) Year 2024</t>
  </si>
  <si>
    <t>Amount (USD) Year 2025</t>
  </si>
  <si>
    <t>Total (USD) expenditure by end of project</t>
  </si>
  <si>
    <t xml:space="preserve">Revisión quantun2024
</t>
  </si>
  <si>
    <t>Budget Note</t>
  </si>
  <si>
    <t>GESTION SECTOR ELECTRICO</t>
  </si>
  <si>
    <t>ECU-Empresa Eléctrica de Quito</t>
  </si>
  <si>
    <t>001981-PNUD</t>
  </si>
  <si>
    <t>Local Consultants</t>
  </si>
  <si>
    <t>Contractual Services - Individ</t>
  </si>
  <si>
    <t>Honorarios Unidad de Gestión de Proyecto (UGP Electromovilidad)
Monitoreo NPSA,  AdministrativaNPSA, Coordinación NPSA marzo 2025</t>
  </si>
  <si>
    <t>Travel</t>
  </si>
  <si>
    <t>Viajes y viaticos intercambio experiencias</t>
  </si>
  <si>
    <t>Contractual Services-Companies</t>
  </si>
  <si>
    <t xml:space="preserve">Consultoria estrategia de electromovilidad  
2024:Prod.2 y 3 
2025: Prod. 1.3
</t>
  </si>
  <si>
    <t>Communic &amp; Audio Visual Equip</t>
  </si>
  <si>
    <t xml:space="preserve">Miscelaneos UGP </t>
  </si>
  <si>
    <t>Supplies</t>
  </si>
  <si>
    <t>Materiales  impresiones UGP</t>
  </si>
  <si>
    <t>Rental &amp; Maint of Info Tech Eq</t>
  </si>
  <si>
    <t>Mantenimiento laptop UGP</t>
  </si>
  <si>
    <t>Audio Visual&amp;Print Prod Costs</t>
  </si>
  <si>
    <t>Diagramación:Estrategia de electromovilidad</t>
  </si>
  <si>
    <t>Miscellaneous Expenses</t>
  </si>
  <si>
    <t>Seguro equipos UGP</t>
  </si>
  <si>
    <t>DPC</t>
  </si>
  <si>
    <t>Transport, Shipping and handle</t>
  </si>
  <si>
    <t xml:space="preserve">Movilización, Maquina laboratorio medidores </t>
  </si>
  <si>
    <t>Facilities &amp; Administration</t>
  </si>
  <si>
    <t>GMS</t>
  </si>
  <si>
    <t>Learning Costs - Subcontractors (non staff)</t>
  </si>
  <si>
    <t>Promoción y sensibilización de electromovilidad e intercambio de experiencias(evento / taller) , ugp miscelaneos</t>
  </si>
  <si>
    <t>TOTAL GESTION SECTOR ELECTRICO</t>
  </si>
  <si>
    <t>Total Electromovilidad</t>
  </si>
  <si>
    <t>TOTAL Output 1</t>
  </si>
  <si>
    <t>MODERNIZACION</t>
  </si>
  <si>
    <t xml:space="preserve">Consultorias transparencia
</t>
  </si>
  <si>
    <t>UN Volunteers-Stipend &amp; Allow</t>
  </si>
  <si>
    <t>UNV</t>
  </si>
  <si>
    <t>Information Technology Equipmt</t>
  </si>
  <si>
    <t xml:space="preserve">Capacitaciones
</t>
  </si>
  <si>
    <t xml:space="preserve">TOTAL MODERNIZACION  </t>
  </si>
  <si>
    <t>Total Transparencia</t>
  </si>
  <si>
    <t xml:space="preserve"> </t>
  </si>
  <si>
    <t>TOTAL Output 2</t>
  </si>
  <si>
    <t>Total</t>
  </si>
  <si>
    <t>TOTAL GENERAL</t>
  </si>
  <si>
    <t>Adquisción equipos de computo FASE 3 compartir COA</t>
  </si>
  <si>
    <t>UNV- transparencia</t>
  </si>
  <si>
    <t>Promoción y sensibilización de electromovilidad e intercambio de experiencias(evento / taller) , ugp miscelaneos electromo y transparencia</t>
  </si>
  <si>
    <t>Adquisción equipos de computo FASE 3 compartir COA Ajustado de la 74700 3500</t>
  </si>
  <si>
    <t>Ejecutado  2024</t>
  </si>
  <si>
    <r>
      <t xml:space="preserve">Disbursement till December 2024
</t>
    </r>
    <r>
      <rPr>
        <b/>
        <i/>
        <sz val="10"/>
        <color theme="0"/>
        <rFont val="Aptos Narrow"/>
        <family val="2"/>
        <scheme val="minor"/>
      </rPr>
      <t>(cummulative years until last official CDR)</t>
    </r>
  </si>
  <si>
    <t>Information</t>
  </si>
  <si>
    <t>Movilización, Ajustado a la 72800 para adquisicón computadoras F3 envio maquina por definir</t>
  </si>
  <si>
    <t>Honorarios Coordinacion, administrativa, monitoreo</t>
  </si>
  <si>
    <t>Consultorías Transparencia y electromovilidad IC por definir</t>
  </si>
  <si>
    <t>POA Nota conceptual</t>
  </si>
  <si>
    <t>Monto total</t>
  </si>
  <si>
    <t>Programa para la promoción y sensibilización de electromovilidad e intercambio de experiencias (evento / taller), incluye presupuesto para viajes</t>
  </si>
  <si>
    <t xml:space="preserve">DPC </t>
  </si>
  <si>
    <t>Project 00110180</t>
  </si>
  <si>
    <t>Monto sin GMS 5% Y DPC</t>
  </si>
  <si>
    <t xml:space="preserve">GMS 5% </t>
  </si>
  <si>
    <t xml:space="preserve">Total </t>
  </si>
  <si>
    <t>Productos</t>
  </si>
  <si>
    <t>Actividades</t>
  </si>
  <si>
    <t>Task Number or Resource</t>
  </si>
  <si>
    <r>
      <rPr>
        <b/>
        <sz val="10"/>
        <color theme="1"/>
        <rFont val="Aptos Display"/>
        <family val="2"/>
        <scheme val="major"/>
      </rPr>
      <t>Resultado 1:</t>
    </r>
    <r>
      <rPr>
        <sz val="10"/>
        <color theme="1"/>
        <rFont val="Aptos Display"/>
        <family val="2"/>
        <scheme val="major"/>
      </rPr>
      <t xml:space="preserve">
Estructuración de la estrategia de electromovilidad de la EEQ 2024-2038. 
</t>
    </r>
  </si>
  <si>
    <t>Resulatado 1 y 2</t>
  </si>
  <si>
    <t>EEQ UIO</t>
  </si>
  <si>
    <t>Estructuración de la estrategia de electromovilidad de la EEQ 2024-2038. 
Diseño de escenarios de modelos de gestión y negocios aterrizados a las necesidades de la EEQ</t>
  </si>
  <si>
    <t>72100 - Contractual Services-Companies</t>
  </si>
  <si>
    <t>72300</t>
  </si>
  <si>
    <t>73400-Maintenance of Equipment</t>
  </si>
  <si>
    <t>71300-Local Consultants</t>
  </si>
  <si>
    <t>71600 - Travel</t>
  </si>
  <si>
    <t>74200 -Audio Visual&amp;Print Prod Costs</t>
  </si>
  <si>
    <t>72800- Information Technology Equipmt-Sotware,hardware</t>
  </si>
  <si>
    <t>74700-Transport, shipping an handle</t>
  </si>
  <si>
    <t>75700 - Training, Workshops and Confer</t>
  </si>
  <si>
    <t>71400 -Contractual Services - Individ</t>
  </si>
  <si>
    <t>UGP Coordinador proyecto</t>
  </si>
  <si>
    <t>UGP Administrativo Financiera</t>
  </si>
  <si>
    <t>UGP Monitoreo</t>
  </si>
  <si>
    <t>Otros gastos administrativos</t>
  </si>
  <si>
    <t>72400-Communic &amp; Audio Visual Equip</t>
  </si>
  <si>
    <t xml:space="preserve">Miscelaneos </t>
  </si>
  <si>
    <t>72100- Contractual Services-Companies</t>
  </si>
  <si>
    <t>72500-Supplies</t>
  </si>
  <si>
    <t>73300-Rental &amp; Maint of Info Tech Eq</t>
  </si>
  <si>
    <t>74500 - Miscellaneous Expenses -DPC</t>
  </si>
  <si>
    <t>75100 - Facilities &amp; Administration-GMS</t>
  </si>
  <si>
    <t>75700-Learning Costs - Subcontractors</t>
  </si>
  <si>
    <t>COSTOS DIRECTOS PNUD</t>
  </si>
  <si>
    <t>Resultado 2</t>
  </si>
  <si>
    <t xml:space="preserve">Resultado 2 
</t>
  </si>
  <si>
    <t xml:space="preserve">Diseñar e implementar un plan de acción de la aplicación de las disposiciones de la nueva LOTAIP </t>
  </si>
  <si>
    <t>71300 - Local Consultants</t>
  </si>
  <si>
    <t>Diseñar e implementar un sistema de gestión de cumplimiento normativo basado en la Norma ISO 37301.</t>
  </si>
  <si>
    <t>Coordinación Transparencia</t>
  </si>
  <si>
    <t>Presup lineas</t>
  </si>
  <si>
    <t xml:space="preserve">F2 Gestion  </t>
  </si>
  <si>
    <t xml:space="preserve">Amount (USD) </t>
  </si>
  <si>
    <t>00110180 “Fortalecimiento a la gestión ambiental – Gestión transparente en la EEQ y promoción de la movilidad sostenible”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</si>
</sst>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* #,##0.00_);_(* \(#,##0.00\);_(* &quot;-&quot;??_);_(@_)"/>
    <numFmt numFmtId="165" formatCode="&quot;$&quot;#,##0.00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2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i/>
      <sz val="10"/>
      <color theme="0"/>
      <name val="Aptos Narrow"/>
      <family val="2"/>
      <scheme val="minor"/>
    </font>
    <font>
      <b/>
      <sz val="10"/>
      <name val="Arial"/>
      <family val="2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i/>
      <sz val="12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11"/>
      <color theme="1"/>
      <name val="Aptos Display"/>
      <family val="2"/>
      <scheme val="major"/>
    </font>
    <font>
      <sz val="10"/>
      <color theme="1"/>
      <name val="Aptos Display"/>
      <family val="2"/>
      <scheme val="major"/>
    </font>
    <font>
      <b/>
      <sz val="10"/>
      <color theme="1"/>
      <name val="Aptos Display"/>
      <family val="2"/>
      <scheme val="major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49998474074526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1" fillId="0" borderId="0"/>
  </cellStyleXfs>
  <cellXfs count="205">
    <xf numFmtId="0" fontId="0" fillId="0" borderId="0" xfId="0"/>
    <xf numFmtId="0" fontId="3" fillId="2" borderId="1" xfId="4" applyFont="1" applyFill="1" applyBorder="1" applyAlignment="1">
      <alignment vertical="center" wrapText="1"/>
    </xf>
    <xf numFmtId="0" fontId="4" fillId="3" borderId="0" xfId="4" applyFont="1" applyFill="1" applyAlignment="1">
      <alignment vertical="center" wrapText="1"/>
    </xf>
    <xf numFmtId="2" fontId="5" fillId="0" borderId="0" xfId="4" applyNumberFormat="1" applyFont="1" applyAlignment="1">
      <alignment vertical="center" wrapText="1"/>
    </xf>
    <xf numFmtId="43" fontId="5" fillId="0" borderId="0" xfId="1" applyFont="1" applyAlignment="1">
      <alignment vertical="center" wrapText="1"/>
    </xf>
    <xf numFmtId="0" fontId="5" fillId="0" borderId="0" xfId="4" applyFont="1" applyAlignment="1">
      <alignment vertical="center" wrapText="1"/>
    </xf>
    <xf numFmtId="0" fontId="6" fillId="0" borderId="0" xfId="5" applyNumberFormat="1" applyFont="1" applyFill="1" applyBorder="1" applyAlignment="1">
      <alignment horizontal="left" vertical="center" wrapText="1"/>
    </xf>
    <xf numFmtId="0" fontId="4" fillId="0" borderId="0" xfId="4" applyFont="1" applyAlignment="1">
      <alignment vertical="center" wrapText="1"/>
    </xf>
    <xf numFmtId="0" fontId="5" fillId="0" borderId="0" xfId="4" applyFont="1" applyAlignment="1">
      <alignment horizontal="center" vertical="center" wrapText="1"/>
    </xf>
    <xf numFmtId="2" fontId="7" fillId="0" borderId="0" xfId="4" applyNumberFormat="1" applyFont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43" fontId="7" fillId="0" borderId="0" xfId="1" applyFont="1" applyFill="1" applyBorder="1" applyAlignment="1">
      <alignment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2" fontId="7" fillId="0" borderId="2" xfId="4" applyNumberFormat="1" applyFont="1" applyBorder="1" applyAlignment="1">
      <alignment vertical="center" wrapText="1"/>
    </xf>
    <xf numFmtId="43" fontId="5" fillId="0" borderId="0" xfId="1" applyFont="1" applyFill="1" applyAlignment="1">
      <alignment vertical="center" wrapText="1"/>
    </xf>
    <xf numFmtId="43" fontId="7" fillId="0" borderId="2" xfId="1" applyFont="1" applyFill="1" applyBorder="1" applyAlignment="1">
      <alignment vertical="center" wrapText="1"/>
    </xf>
    <xf numFmtId="2" fontId="8" fillId="4" borderId="3" xfId="4" applyNumberFormat="1" applyFont="1" applyFill="1" applyBorder="1" applyAlignment="1">
      <alignment horizontal="center" vertical="center" wrapText="1"/>
    </xf>
    <xf numFmtId="2" fontId="8" fillId="4" borderId="3" xfId="4" applyNumberFormat="1" applyFont="1" applyFill="1" applyBorder="1" applyAlignment="1">
      <alignment vertical="center" wrapText="1"/>
    </xf>
    <xf numFmtId="0" fontId="8" fillId="5" borderId="0" xfId="4" applyFont="1" applyFill="1" applyAlignment="1">
      <alignment vertical="center" wrapText="1"/>
    </xf>
    <xf numFmtId="43" fontId="8" fillId="5" borderId="0" xfId="1" applyFont="1" applyFill="1" applyAlignment="1">
      <alignment vertical="center" wrapText="1"/>
    </xf>
    <xf numFmtId="43" fontId="8" fillId="0" borderId="0" xfId="1" applyFont="1" applyFill="1" applyAlignment="1">
      <alignment vertical="center" wrapText="1"/>
    </xf>
    <xf numFmtId="0" fontId="8" fillId="6" borderId="0" xfId="4" applyFont="1" applyFill="1" applyAlignment="1">
      <alignment vertical="center" wrapText="1"/>
    </xf>
    <xf numFmtId="43" fontId="8" fillId="6" borderId="0" xfId="1" applyFont="1" applyFill="1" applyAlignment="1">
      <alignment vertical="center" wrapText="1"/>
    </xf>
    <xf numFmtId="0" fontId="9" fillId="4" borderId="1" xfId="4" applyFont="1" applyFill="1" applyBorder="1" applyAlignment="1">
      <alignment horizontal="center" vertical="center" wrapText="1"/>
    </xf>
    <xf numFmtId="0" fontId="10" fillId="3" borderId="0" xfId="4" applyFont="1" applyFill="1" applyAlignment="1">
      <alignment vertical="center" wrapText="1"/>
    </xf>
    <xf numFmtId="3" fontId="9" fillId="5" borderId="1" xfId="4" applyNumberFormat="1" applyFont="1" applyFill="1" applyBorder="1" applyAlignment="1">
      <alignment horizontal="center" vertical="center" wrapText="1"/>
    </xf>
    <xf numFmtId="43" fontId="9" fillId="7" borderId="1" xfId="1" applyFont="1" applyFill="1" applyBorder="1" applyAlignment="1">
      <alignment horizontal="center" vertical="center" wrapText="1"/>
    </xf>
    <xf numFmtId="0" fontId="12" fillId="8" borderId="1" xfId="4" applyFont="1" applyFill="1" applyBorder="1" applyAlignment="1">
      <alignment horizontal="center" vertical="center" wrapText="1"/>
    </xf>
    <xf numFmtId="0" fontId="9" fillId="6" borderId="1" xfId="4" applyFont="1" applyFill="1" applyBorder="1" applyAlignment="1">
      <alignment horizontal="center" vertical="center" wrapText="1"/>
    </xf>
    <xf numFmtId="3" fontId="9" fillId="6" borderId="1" xfId="4" applyNumberFormat="1" applyFont="1" applyFill="1" applyBorder="1" applyAlignment="1">
      <alignment horizontal="center" vertical="center" wrapText="1"/>
    </xf>
    <xf numFmtId="43" fontId="9" fillId="6" borderId="1" xfId="1" applyFont="1" applyFill="1" applyBorder="1" applyAlignment="1">
      <alignment horizontal="center" vertical="center" wrapText="1"/>
    </xf>
    <xf numFmtId="0" fontId="10" fillId="0" borderId="0" xfId="4" applyFont="1" applyAlignment="1">
      <alignment vertical="center" wrapText="1"/>
    </xf>
    <xf numFmtId="0" fontId="6" fillId="9" borderId="3" xfId="6" applyFont="1" applyFill="1" applyBorder="1" applyAlignment="1">
      <alignment vertical="center" wrapText="1"/>
    </xf>
    <xf numFmtId="0" fontId="6" fillId="10" borderId="3" xfId="6" applyFont="1" applyFill="1" applyBorder="1" applyAlignment="1">
      <alignment horizontal="center" vertical="center" wrapText="1"/>
    </xf>
    <xf numFmtId="0" fontId="6" fillId="10" borderId="3" xfId="6" applyFont="1" applyFill="1" applyBorder="1" applyAlignment="1">
      <alignment horizontal="left" vertical="center" wrapText="1"/>
    </xf>
    <xf numFmtId="0" fontId="6" fillId="10" borderId="1" xfId="6" applyFont="1" applyFill="1" applyBorder="1" applyAlignment="1">
      <alignment horizontal="center" vertical="center" wrapText="1"/>
    </xf>
    <xf numFmtId="0" fontId="6" fillId="10" borderId="4" xfId="6" applyFont="1" applyFill="1" applyBorder="1" applyAlignment="1">
      <alignment horizontal="center" vertical="center" wrapText="1"/>
    </xf>
    <xf numFmtId="0" fontId="6" fillId="0" borderId="1" xfId="6" applyFont="1" applyBorder="1" applyAlignment="1">
      <alignment vertical="center" wrapText="1"/>
    </xf>
    <xf numFmtId="43" fontId="6" fillId="0" borderId="1" xfId="1" applyFont="1" applyFill="1" applyBorder="1" applyAlignment="1">
      <alignment horizontal="center" vertical="center" wrapText="1"/>
    </xf>
    <xf numFmtId="164" fontId="6" fillId="0" borderId="1" xfId="5" applyFont="1" applyFill="1" applyBorder="1" applyAlignment="1">
      <alignment horizontal="center" vertical="center" wrapText="1"/>
    </xf>
    <xf numFmtId="44" fontId="4" fillId="3" borderId="0" xfId="2" applyFont="1" applyFill="1" applyAlignment="1">
      <alignment horizontal="left" vertical="center" wrapText="1"/>
    </xf>
    <xf numFmtId="0" fontId="4" fillId="0" borderId="1" xfId="4" applyFont="1" applyBorder="1" applyAlignment="1">
      <alignment vertical="center" wrapText="1"/>
    </xf>
    <xf numFmtId="9" fontId="6" fillId="0" borderId="1" xfId="3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right" vertical="center" wrapText="1"/>
    </xf>
    <xf numFmtId="43" fontId="6" fillId="0" borderId="1" xfId="5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4" fillId="3" borderId="0" xfId="4" applyFont="1" applyFill="1" applyAlignment="1">
      <alignment horizontal="left" vertical="center" wrapText="1"/>
    </xf>
    <xf numFmtId="4" fontId="4" fillId="0" borderId="1" xfId="4" applyNumberFormat="1" applyFont="1" applyBorder="1" applyAlignment="1">
      <alignment vertical="center" wrapText="1"/>
    </xf>
    <xf numFmtId="0" fontId="6" fillId="0" borderId="1" xfId="5" applyNumberFormat="1" applyFont="1" applyFill="1" applyBorder="1" applyAlignment="1">
      <alignment horizontal="left" vertical="center" wrapText="1"/>
    </xf>
    <xf numFmtId="0" fontId="6" fillId="3" borderId="1" xfId="6" applyFont="1" applyFill="1" applyBorder="1" applyAlignment="1">
      <alignment vertical="center" wrapText="1"/>
    </xf>
    <xf numFmtId="0" fontId="4" fillId="0" borderId="0" xfId="4" applyFont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43" fontId="6" fillId="0" borderId="1" xfId="1" applyFont="1" applyFill="1" applyBorder="1" applyAlignment="1">
      <alignment vertical="center" wrapText="1"/>
    </xf>
    <xf numFmtId="164" fontId="6" fillId="0" borderId="1" xfId="5" applyFont="1" applyFill="1" applyBorder="1" applyAlignment="1">
      <alignment vertical="center" wrapText="1"/>
    </xf>
    <xf numFmtId="0" fontId="13" fillId="11" borderId="5" xfId="6" applyFont="1" applyFill="1" applyBorder="1" applyAlignment="1">
      <alignment horizontal="center" vertical="center" wrapText="1"/>
    </xf>
    <xf numFmtId="0" fontId="13" fillId="11" borderId="6" xfId="6" applyFont="1" applyFill="1" applyBorder="1" applyAlignment="1">
      <alignment horizontal="center" vertical="center" wrapText="1"/>
    </xf>
    <xf numFmtId="0" fontId="13" fillId="11" borderId="6" xfId="6" applyFont="1" applyFill="1" applyBorder="1" applyAlignment="1">
      <alignment vertical="center" wrapText="1"/>
    </xf>
    <xf numFmtId="0" fontId="13" fillId="11" borderId="5" xfId="6" applyFont="1" applyFill="1" applyBorder="1" applyAlignment="1">
      <alignment vertical="center" wrapText="1"/>
    </xf>
    <xf numFmtId="164" fontId="13" fillId="11" borderId="3" xfId="5" applyFont="1" applyFill="1" applyBorder="1" applyAlignment="1">
      <alignment vertical="center" wrapText="1"/>
    </xf>
    <xf numFmtId="164" fontId="13" fillId="11" borderId="6" xfId="5" applyFont="1" applyFill="1" applyBorder="1" applyAlignment="1">
      <alignment vertical="center" wrapText="1"/>
    </xf>
    <xf numFmtId="43" fontId="13" fillId="11" borderId="6" xfId="1" applyFont="1" applyFill="1" applyBorder="1" applyAlignment="1">
      <alignment vertical="center" wrapText="1"/>
    </xf>
    <xf numFmtId="9" fontId="13" fillId="11" borderId="6" xfId="3" applyFont="1" applyFill="1" applyBorder="1" applyAlignment="1">
      <alignment horizontal="center" vertical="center" wrapText="1"/>
    </xf>
    <xf numFmtId="0" fontId="13" fillId="11" borderId="6" xfId="5" applyNumberFormat="1" applyFont="1" applyFill="1" applyBorder="1" applyAlignment="1">
      <alignment horizontal="left" vertical="center" wrapText="1"/>
    </xf>
    <xf numFmtId="0" fontId="6" fillId="12" borderId="3" xfId="6" applyFont="1" applyFill="1" applyBorder="1" applyAlignment="1">
      <alignment vertical="center" wrapText="1"/>
    </xf>
    <xf numFmtId="0" fontId="6" fillId="12" borderId="3" xfId="6" applyFont="1" applyFill="1" applyBorder="1" applyAlignment="1">
      <alignment horizontal="center" vertical="center" wrapText="1"/>
    </xf>
    <xf numFmtId="0" fontId="6" fillId="12" borderId="1" xfId="6" applyFont="1" applyFill="1" applyBorder="1" applyAlignment="1">
      <alignment horizontal="center" vertical="center" wrapText="1"/>
    </xf>
    <xf numFmtId="0" fontId="6" fillId="12" borderId="4" xfId="6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44" fontId="14" fillId="0" borderId="1" xfId="2" applyFont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 wrapText="1"/>
    </xf>
    <xf numFmtId="164" fontId="5" fillId="3" borderId="1" xfId="5" applyFont="1" applyFill="1" applyBorder="1" applyAlignment="1">
      <alignment horizontal="center" vertical="center" wrapText="1"/>
    </xf>
    <xf numFmtId="164" fontId="6" fillId="0" borderId="3" xfId="5" applyFont="1" applyFill="1" applyBorder="1" applyAlignment="1">
      <alignment horizontal="center" vertical="center" wrapText="1"/>
    </xf>
    <xf numFmtId="44" fontId="14" fillId="0" borderId="1" xfId="2" applyFont="1" applyBorder="1" applyAlignment="1">
      <alignment horizontal="center" vertical="center" wrapText="1"/>
    </xf>
    <xf numFmtId="0" fontId="6" fillId="3" borderId="0" xfId="5" applyNumberFormat="1" applyFont="1" applyFill="1" applyBorder="1" applyAlignment="1">
      <alignment horizontal="left" vertical="center" wrapText="1"/>
    </xf>
    <xf numFmtId="44" fontId="14" fillId="0" borderId="1" xfId="0" applyNumberFormat="1" applyFont="1" applyBorder="1" applyAlignment="1">
      <alignment horizontal="center" vertical="center"/>
    </xf>
    <xf numFmtId="0" fontId="13" fillId="8" borderId="7" xfId="6" applyFont="1" applyFill="1" applyBorder="1" applyAlignment="1">
      <alignment horizontal="center" vertical="center" wrapText="1"/>
    </xf>
    <xf numFmtId="0" fontId="6" fillId="8" borderId="7" xfId="6" applyFont="1" applyFill="1" applyBorder="1" applyAlignment="1">
      <alignment horizontal="center" vertical="center" wrapText="1"/>
    </xf>
    <xf numFmtId="0" fontId="13" fillId="8" borderId="8" xfId="6" applyFont="1" applyFill="1" applyBorder="1" applyAlignment="1">
      <alignment vertical="center" wrapText="1"/>
    </xf>
    <xf numFmtId="0" fontId="6" fillId="8" borderId="6" xfId="6" applyFont="1" applyFill="1" applyBorder="1" applyAlignment="1">
      <alignment horizontal="center" vertical="center" wrapText="1"/>
    </xf>
    <xf numFmtId="0" fontId="6" fillId="8" borderId="9" xfId="6" applyFont="1" applyFill="1" applyBorder="1" applyAlignment="1">
      <alignment vertical="center" wrapText="1"/>
    </xf>
    <xf numFmtId="0" fontId="13" fillId="8" borderId="5" xfId="6" applyFont="1" applyFill="1" applyBorder="1" applyAlignment="1">
      <alignment vertical="center" wrapText="1"/>
    </xf>
    <xf numFmtId="164" fontId="13" fillId="8" borderId="10" xfId="5" applyFont="1" applyFill="1" applyBorder="1" applyAlignment="1">
      <alignment vertical="center" wrapText="1"/>
    </xf>
    <xf numFmtId="43" fontId="13" fillId="8" borderId="10" xfId="1" applyFont="1" applyFill="1" applyBorder="1" applyAlignment="1">
      <alignment vertical="center" wrapText="1"/>
    </xf>
    <xf numFmtId="0" fontId="13" fillId="8" borderId="10" xfId="5" applyNumberFormat="1" applyFont="1" applyFill="1" applyBorder="1" applyAlignment="1">
      <alignment horizontal="left" vertical="center" wrapText="1"/>
    </xf>
    <xf numFmtId="164" fontId="5" fillId="0" borderId="0" xfId="6" applyNumberFormat="1" applyFont="1" applyAlignment="1">
      <alignment vertical="center" wrapText="1"/>
    </xf>
    <xf numFmtId="0" fontId="5" fillId="3" borderId="0" xfId="4" applyFont="1" applyFill="1" applyAlignment="1">
      <alignment vertical="center" wrapText="1"/>
    </xf>
    <xf numFmtId="9" fontId="5" fillId="0" borderId="0" xfId="3" applyFont="1" applyAlignment="1">
      <alignment horizontal="center" vertical="center" wrapText="1"/>
    </xf>
    <xf numFmtId="43" fontId="5" fillId="0" borderId="0" xfId="1" applyFont="1" applyAlignment="1">
      <alignment horizontal="center" vertical="center" wrapText="1"/>
    </xf>
    <xf numFmtId="43" fontId="13" fillId="0" borderId="0" xfId="1" applyFont="1" applyFill="1" applyBorder="1" applyAlignment="1">
      <alignment vertical="center" wrapText="1"/>
    </xf>
    <xf numFmtId="0" fontId="5" fillId="0" borderId="0" xfId="6" applyFont="1" applyAlignment="1">
      <alignment horizontal="center" vertical="center" wrapText="1"/>
    </xf>
    <xf numFmtId="0" fontId="3" fillId="0" borderId="0" xfId="4" applyFont="1" applyAlignment="1">
      <alignment vertical="center" wrapText="1"/>
    </xf>
    <xf numFmtId="0" fontId="3" fillId="0" borderId="11" xfId="6" applyFont="1" applyBorder="1" applyAlignment="1">
      <alignment vertical="center" wrapText="1"/>
    </xf>
    <xf numFmtId="164" fontId="3" fillId="0" borderId="11" xfId="6" applyNumberFormat="1" applyFont="1" applyBorder="1" applyAlignment="1">
      <alignment vertical="center" wrapText="1"/>
    </xf>
    <xf numFmtId="0" fontId="3" fillId="0" borderId="11" xfId="6" applyFont="1" applyBorder="1" applyAlignment="1">
      <alignment horizontal="center" vertical="center" wrapText="1"/>
    </xf>
    <xf numFmtId="164" fontId="5" fillId="0" borderId="0" xfId="4" applyNumberFormat="1" applyFont="1" applyAlignment="1">
      <alignment vertical="center" wrapText="1"/>
    </xf>
    <xf numFmtId="0" fontId="15" fillId="0" borderId="0" xfId="4" applyFont="1" applyAlignment="1">
      <alignment horizontal="right" vertical="center" wrapText="1"/>
    </xf>
    <xf numFmtId="43" fontId="5" fillId="0" borderId="0" xfId="4" applyNumberFormat="1" applyFont="1" applyAlignment="1">
      <alignment vertical="center" wrapText="1"/>
    </xf>
    <xf numFmtId="0" fontId="16" fillId="0" borderId="0" xfId="4" applyFont="1" applyAlignment="1">
      <alignment horizontal="left" vertical="center" wrapText="1"/>
    </xf>
    <xf numFmtId="0" fontId="4" fillId="0" borderId="0" xfId="4" applyFont="1" applyAlignment="1">
      <alignment horizontal="center" vertical="center" wrapText="1"/>
    </xf>
    <xf numFmtId="10" fontId="4" fillId="0" borderId="0" xfId="3" applyNumberFormat="1" applyFont="1" applyAlignment="1">
      <alignment vertical="center" wrapText="1"/>
    </xf>
    <xf numFmtId="43" fontId="4" fillId="0" borderId="0" xfId="1" applyFont="1" applyAlignment="1">
      <alignment vertical="center" wrapText="1"/>
    </xf>
    <xf numFmtId="43" fontId="4" fillId="0" borderId="0" xfId="4" applyNumberFormat="1" applyFont="1" applyAlignment="1">
      <alignment vertical="center" wrapText="1"/>
    </xf>
    <xf numFmtId="9" fontId="4" fillId="0" borderId="0" xfId="3" applyFont="1" applyAlignment="1">
      <alignment vertical="center" wrapText="1"/>
    </xf>
    <xf numFmtId="0" fontId="5" fillId="10" borderId="4" xfId="6" applyFont="1" applyFill="1" applyBorder="1" applyAlignment="1">
      <alignment horizontal="center" vertical="center" wrapText="1"/>
    </xf>
    <xf numFmtId="0" fontId="5" fillId="3" borderId="1" xfId="6" applyFont="1" applyFill="1" applyBorder="1" applyAlignment="1">
      <alignment vertical="center" wrapText="1"/>
    </xf>
    <xf numFmtId="43" fontId="5" fillId="0" borderId="1" xfId="1" applyFont="1" applyFill="1" applyBorder="1" applyAlignment="1">
      <alignment horizontal="center" vertical="center" wrapText="1"/>
    </xf>
    <xf numFmtId="164" fontId="5" fillId="0" borderId="1" xfId="5" applyFont="1" applyFill="1" applyBorder="1" applyAlignment="1">
      <alignment horizontal="center" vertical="center" wrapText="1"/>
    </xf>
    <xf numFmtId="0" fontId="5" fillId="0" borderId="0" xfId="4" applyFont="1" applyAlignment="1">
      <alignment horizontal="left" vertical="center" wrapText="1"/>
    </xf>
    <xf numFmtId="4" fontId="5" fillId="0" borderId="1" xfId="4" applyNumberFormat="1" applyFont="1" applyBorder="1" applyAlignment="1">
      <alignment vertical="center" wrapText="1"/>
    </xf>
    <xf numFmtId="9" fontId="5" fillId="0" borderId="1" xfId="3" applyFont="1" applyFill="1" applyBorder="1" applyAlignment="1">
      <alignment horizontal="center" vertical="center" wrapText="1"/>
    </xf>
    <xf numFmtId="43" fontId="5" fillId="0" borderId="1" xfId="5" applyNumberFormat="1" applyFont="1" applyFill="1" applyBorder="1" applyAlignment="1">
      <alignment horizontal="center" vertical="center" wrapText="1"/>
    </xf>
    <xf numFmtId="0" fontId="5" fillId="0" borderId="1" xfId="6" applyFont="1" applyBorder="1" applyAlignment="1">
      <alignment vertical="center" wrapText="1"/>
    </xf>
    <xf numFmtId="0" fontId="5" fillId="3" borderId="0" xfId="4" applyFont="1" applyFill="1" applyAlignment="1">
      <alignment horizontal="left" vertical="center" wrapText="1"/>
    </xf>
    <xf numFmtId="0" fontId="5" fillId="0" borderId="1" xfId="4" applyFont="1" applyBorder="1" applyAlignment="1">
      <alignment vertical="center" wrapText="1"/>
    </xf>
    <xf numFmtId="0" fontId="5" fillId="10" borderId="3" xfId="6" applyFont="1" applyFill="1" applyBorder="1" applyAlignment="1">
      <alignment horizontal="left" vertical="center" wrapText="1"/>
    </xf>
    <xf numFmtId="0" fontId="5" fillId="10" borderId="1" xfId="6" applyFont="1" applyFill="1" applyBorder="1" applyAlignment="1">
      <alignment horizontal="center" vertical="center" wrapText="1"/>
    </xf>
    <xf numFmtId="164" fontId="5" fillId="0" borderId="1" xfId="5" applyFont="1" applyFill="1" applyBorder="1" applyAlignment="1">
      <alignment vertical="center" wrapText="1"/>
    </xf>
    <xf numFmtId="164" fontId="6" fillId="0" borderId="0" xfId="0" applyNumberFormat="1" applyFont="1" applyAlignment="1">
      <alignment vertical="center" wrapText="1"/>
    </xf>
    <xf numFmtId="43" fontId="6" fillId="0" borderId="0" xfId="0" applyNumberFormat="1" applyFont="1" applyAlignment="1">
      <alignment vertical="center" wrapText="1"/>
    </xf>
    <xf numFmtId="43" fontId="6" fillId="0" borderId="1" xfId="1" applyFont="1" applyFill="1" applyBorder="1" applyAlignment="1">
      <alignment horizontal="left" vertical="center" wrapText="1"/>
    </xf>
    <xf numFmtId="164" fontId="3" fillId="0" borderId="11" xfId="6" applyNumberFormat="1" applyFont="1" applyBorder="1" applyAlignment="1">
      <alignment horizontal="left" vertical="center" wrapText="1"/>
    </xf>
    <xf numFmtId="43" fontId="9" fillId="13" borderId="1" xfId="1" applyFont="1" applyFill="1" applyBorder="1" applyAlignment="1">
      <alignment horizontal="center" vertical="center" wrapText="1"/>
    </xf>
    <xf numFmtId="49" fontId="20" fillId="14" borderId="1" xfId="0" applyNumberFormat="1" applyFont="1" applyFill="1" applyBorder="1" applyAlignment="1">
      <alignment vertical="center" wrapText="1"/>
    </xf>
    <xf numFmtId="49" fontId="20" fillId="14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44" fontId="21" fillId="0" borderId="1" xfId="2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44" fontId="20" fillId="0" borderId="1" xfId="2" applyFont="1" applyBorder="1" applyAlignment="1">
      <alignment horizontal="center" vertical="center" wrapText="1"/>
    </xf>
    <xf numFmtId="165" fontId="20" fillId="0" borderId="0" xfId="0" applyNumberFormat="1" applyFont="1" applyAlignment="1">
      <alignment vertical="center" wrapText="1"/>
    </xf>
    <xf numFmtId="44" fontId="20" fillId="0" borderId="0" xfId="0" applyNumberFormat="1" applyFont="1" applyAlignment="1">
      <alignment vertical="center" wrapText="1"/>
    </xf>
    <xf numFmtId="0" fontId="21" fillId="0" borderId="1" xfId="0" applyFont="1" applyBorder="1" applyAlignment="1">
      <alignment vertical="center" wrapText="1"/>
    </xf>
    <xf numFmtId="49" fontId="22" fillId="0" borderId="0" xfId="0" applyNumberFormat="1" applyFont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20" fillId="3" borderId="0" xfId="0" applyFont="1" applyFill="1" applyAlignment="1">
      <alignment vertical="center"/>
    </xf>
    <xf numFmtId="0" fontId="22" fillId="0" borderId="3" xfId="0" applyFont="1" applyBorder="1" applyAlignment="1">
      <alignment horizontal="center" vertical="center" wrapText="1"/>
    </xf>
    <xf numFmtId="49" fontId="22" fillId="15" borderId="12" xfId="0" applyNumberFormat="1" applyFont="1" applyFill="1" applyBorder="1" applyAlignment="1">
      <alignment vertical="center" wrapText="1"/>
    </xf>
    <xf numFmtId="49" fontId="22" fillId="0" borderId="3" xfId="0" applyNumberFormat="1" applyFont="1" applyBorder="1" applyAlignment="1">
      <alignment vertical="center" wrapText="1"/>
    </xf>
    <xf numFmtId="49" fontId="22" fillId="0" borderId="25" xfId="0" applyNumberFormat="1" applyFont="1" applyBorder="1" applyAlignment="1">
      <alignment vertical="center" wrapText="1"/>
    </xf>
    <xf numFmtId="49" fontId="22" fillId="0" borderId="1" xfId="0" applyNumberFormat="1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44" fontId="22" fillId="0" borderId="25" xfId="2" applyFont="1" applyBorder="1" applyAlignment="1">
      <alignment vertical="center" wrapText="1"/>
    </xf>
    <xf numFmtId="44" fontId="22" fillId="0" borderId="1" xfId="0" applyNumberFormat="1" applyFont="1" applyBorder="1" applyAlignment="1">
      <alignment vertical="center" wrapText="1"/>
    </xf>
    <xf numFmtId="44" fontId="22" fillId="0" borderId="1" xfId="2" applyFont="1" applyBorder="1" applyAlignment="1">
      <alignment vertical="center" wrapText="1"/>
    </xf>
    <xf numFmtId="49" fontId="22" fillId="3" borderId="1" xfId="0" applyNumberFormat="1" applyFont="1" applyFill="1" applyBorder="1" applyAlignment="1">
      <alignment vertical="center" wrapText="1"/>
    </xf>
    <xf numFmtId="49" fontId="22" fillId="3" borderId="27" xfId="0" applyNumberFormat="1" applyFont="1" applyFill="1" applyBorder="1" applyAlignment="1">
      <alignment vertical="center" wrapText="1"/>
    </xf>
    <xf numFmtId="49" fontId="22" fillId="0" borderId="27" xfId="0" applyNumberFormat="1" applyFont="1" applyBorder="1" applyAlignment="1">
      <alignment vertical="center" wrapText="1"/>
    </xf>
    <xf numFmtId="44" fontId="22" fillId="0" borderId="27" xfId="2" applyFont="1" applyBorder="1" applyAlignment="1">
      <alignment vertical="center" wrapText="1"/>
    </xf>
    <xf numFmtId="44" fontId="22" fillId="0" borderId="27" xfId="0" applyNumberFormat="1" applyFont="1" applyBorder="1" applyAlignment="1">
      <alignment vertical="center" wrapText="1"/>
    </xf>
    <xf numFmtId="49" fontId="22" fillId="3" borderId="25" xfId="0" applyNumberFormat="1" applyFont="1" applyFill="1" applyBorder="1" applyAlignment="1">
      <alignment vertical="center" wrapText="1"/>
    </xf>
    <xf numFmtId="0" fontId="22" fillId="3" borderId="16" xfId="0" applyFont="1" applyFill="1" applyBorder="1" applyAlignment="1">
      <alignment horizontal="justify" vertical="center" wrapText="1"/>
    </xf>
    <xf numFmtId="49" fontId="22" fillId="3" borderId="17" xfId="0" applyNumberFormat="1" applyFont="1" applyFill="1" applyBorder="1" applyAlignment="1">
      <alignment vertical="center" wrapText="1"/>
    </xf>
    <xf numFmtId="44" fontId="22" fillId="0" borderId="17" xfId="2" applyFont="1" applyBorder="1" applyAlignment="1">
      <alignment vertical="center" wrapText="1"/>
    </xf>
    <xf numFmtId="49" fontId="22" fillId="3" borderId="12" xfId="0" applyNumberFormat="1" applyFont="1" applyFill="1" applyBorder="1" applyAlignment="1">
      <alignment vertical="center" wrapText="1"/>
    </xf>
    <xf numFmtId="49" fontId="22" fillId="0" borderId="12" xfId="0" applyNumberFormat="1" applyFont="1" applyBorder="1" applyAlignment="1">
      <alignment vertical="center" wrapText="1"/>
    </xf>
    <xf numFmtId="0" fontId="22" fillId="0" borderId="12" xfId="0" applyFont="1" applyBorder="1" applyAlignment="1">
      <alignment vertical="center" wrapText="1"/>
    </xf>
    <xf numFmtId="44" fontId="22" fillId="0" borderId="12" xfId="2" applyFont="1" applyBorder="1" applyAlignment="1">
      <alignment vertical="center" wrapText="1"/>
    </xf>
    <xf numFmtId="44" fontId="22" fillId="0" borderId="12" xfId="0" applyNumberFormat="1" applyFont="1" applyBorder="1" applyAlignment="1">
      <alignment vertical="center" wrapText="1"/>
    </xf>
    <xf numFmtId="0" fontId="20" fillId="0" borderId="29" xfId="0" applyFont="1" applyBorder="1" applyAlignment="1">
      <alignment vertical="center"/>
    </xf>
    <xf numFmtId="0" fontId="20" fillId="0" borderId="22" xfId="0" applyFont="1" applyBorder="1" applyAlignment="1">
      <alignment vertical="center"/>
    </xf>
    <xf numFmtId="49" fontId="22" fillId="0" borderId="20" xfId="0" applyNumberFormat="1" applyFont="1" applyBorder="1" applyAlignment="1">
      <alignment vertical="center" wrapText="1"/>
    </xf>
    <xf numFmtId="0" fontId="22" fillId="0" borderId="3" xfId="0" applyFont="1" applyBorder="1" applyAlignment="1">
      <alignment horizontal="justify" vertical="center" wrapText="1"/>
    </xf>
    <xf numFmtId="44" fontId="20" fillId="0" borderId="3" xfId="2" applyFont="1" applyBorder="1" applyAlignment="1">
      <alignment vertical="center" wrapText="1"/>
    </xf>
    <xf numFmtId="44" fontId="20" fillId="0" borderId="12" xfId="2" applyFont="1" applyBorder="1" applyAlignment="1">
      <alignment vertical="center" wrapText="1"/>
    </xf>
    <xf numFmtId="44" fontId="22" fillId="15" borderId="12" xfId="0" applyNumberFormat="1" applyFont="1" applyFill="1" applyBorder="1" applyAlignment="1">
      <alignment vertical="center" wrapText="1"/>
    </xf>
    <xf numFmtId="44" fontId="22" fillId="0" borderId="3" xfId="0" applyNumberFormat="1" applyFont="1" applyBorder="1" applyAlignment="1">
      <alignment vertical="center" wrapText="1"/>
    </xf>
    <xf numFmtId="44" fontId="22" fillId="3" borderId="17" xfId="0" applyNumberFormat="1" applyFont="1" applyFill="1" applyBorder="1" applyAlignment="1">
      <alignment vertical="center" wrapText="1"/>
    </xf>
    <xf numFmtId="44" fontId="22" fillId="0" borderId="20" xfId="0" applyNumberFormat="1" applyFont="1" applyBorder="1" applyAlignment="1">
      <alignment vertical="center" wrapText="1"/>
    </xf>
    <xf numFmtId="0" fontId="22" fillId="16" borderId="20" xfId="0" applyFont="1" applyFill="1" applyBorder="1" applyAlignment="1">
      <alignment horizontal="center" vertical="center" wrapText="1"/>
    </xf>
    <xf numFmtId="0" fontId="6" fillId="3" borderId="0" xfId="4" applyFont="1" applyFill="1" applyAlignment="1">
      <alignment horizontal="left" vertical="center" wrapText="1"/>
    </xf>
    <xf numFmtId="0" fontId="6" fillId="0" borderId="1" xfId="4" applyFont="1" applyBorder="1" applyAlignment="1">
      <alignment vertical="center" wrapText="1"/>
    </xf>
    <xf numFmtId="43" fontId="19" fillId="13" borderId="1" xfId="1" applyFont="1" applyFill="1" applyBorder="1" applyAlignment="1">
      <alignment horizontal="center" vertical="center" wrapText="1"/>
    </xf>
    <xf numFmtId="0" fontId="4" fillId="0" borderId="0" xfId="4" applyFont="1" applyAlignment="1">
      <alignment horizontal="justify" vertical="center" wrapText="1"/>
    </xf>
    <xf numFmtId="49" fontId="3" fillId="2" borderId="1" xfId="4" quotePrefix="1" applyNumberFormat="1" applyFont="1" applyFill="1" applyBorder="1" applyAlignment="1">
      <alignment horizontal="left" vertical="center" wrapText="1"/>
    </xf>
    <xf numFmtId="49" fontId="3" fillId="2" borderId="1" xfId="4" applyNumberFormat="1" applyFont="1" applyFill="1" applyBorder="1" applyAlignment="1">
      <alignment horizontal="left" vertical="center" wrapText="1"/>
    </xf>
    <xf numFmtId="0" fontId="3" fillId="2" borderId="1" xfId="4" applyFont="1" applyFill="1" applyBorder="1" applyAlignment="1">
      <alignment horizontal="left" vertical="center" wrapText="1"/>
    </xf>
    <xf numFmtId="44" fontId="22" fillId="0" borderId="3" xfId="0" applyNumberFormat="1" applyFont="1" applyBorder="1" applyAlignment="1">
      <alignment horizontal="center" vertical="center" wrapText="1"/>
    </xf>
    <xf numFmtId="44" fontId="22" fillId="0" borderId="12" xfId="0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44" fontId="22" fillId="0" borderId="15" xfId="2" applyFont="1" applyBorder="1" applyAlignment="1">
      <alignment horizontal="center" vertical="center" wrapText="1"/>
    </xf>
    <xf numFmtId="44" fontId="22" fillId="0" borderId="20" xfId="2" applyFont="1" applyBorder="1" applyAlignment="1">
      <alignment horizontal="center" vertical="center" wrapText="1"/>
    </xf>
    <xf numFmtId="44" fontId="22" fillId="0" borderId="14" xfId="2" applyFont="1" applyBorder="1" applyAlignment="1">
      <alignment horizontal="center" vertical="center" wrapText="1"/>
    </xf>
    <xf numFmtId="44" fontId="22" fillId="3" borderId="15" xfId="2" applyFont="1" applyFill="1" applyBorder="1" applyAlignment="1">
      <alignment horizontal="center" vertical="center" wrapText="1"/>
    </xf>
    <xf numFmtId="44" fontId="22" fillId="3" borderId="14" xfId="2" applyFont="1" applyFill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3" borderId="28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horizontal="center" vertical="center" wrapText="1"/>
    </xf>
    <xf numFmtId="0" fontId="22" fillId="3" borderId="26" xfId="0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 wrapText="1"/>
    </xf>
    <xf numFmtId="44" fontId="22" fillId="3" borderId="15" xfId="0" applyNumberFormat="1" applyFont="1" applyFill="1" applyBorder="1" applyAlignment="1">
      <alignment horizontal="center" vertical="center" wrapText="1"/>
    </xf>
    <xf numFmtId="44" fontId="22" fillId="3" borderId="20" xfId="0" applyNumberFormat="1" applyFont="1" applyFill="1" applyBorder="1" applyAlignment="1">
      <alignment horizontal="center" vertical="center" wrapText="1"/>
    </xf>
    <xf numFmtId="44" fontId="22" fillId="3" borderId="14" xfId="0" applyNumberFormat="1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</cellXfs>
  <cellStyles count="7">
    <cellStyle name="Millares" xfId="1" builtinId="3"/>
    <cellStyle name="Millares 2 2 2" xfId="5" xr:uid="{9D45C438-9D5B-4354-8F29-4A628CD28087}"/>
    <cellStyle name="Moneda" xfId="2" builtinId="4"/>
    <cellStyle name="Normal" xfId="0" builtinId="0"/>
    <cellStyle name="Normal 3" xfId="4" xr:uid="{64C91F4F-EE94-405F-92AC-88C3E8B81C1C}"/>
    <cellStyle name="Normal 5 2" xfId="6" xr:uid="{C05B59F8-3EE1-42E8-B3DC-E2EB256CDA14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24DD7-CAEE-4AB6-94DF-3E63CA922C89}">
  <sheetPr codeName="Hoja1">
    <pageSetUpPr fitToPage="1"/>
  </sheetPr>
  <dimension ref="B1:AN51"/>
  <sheetViews>
    <sheetView topLeftCell="N1" zoomScale="140" zoomScaleNormal="140" workbookViewId="0">
      <pane ySplit="7" topLeftCell="A8" activePane="bottomLeft" state="frozen"/>
      <selection activeCell="J7" sqref="J7"/>
      <selection pane="bottomLeft" sqref="A1:XFD6"/>
    </sheetView>
  </sheetViews>
  <sheetFormatPr baseColWidth="10" defaultColWidth="11.42578125" defaultRowHeight="15.75" x14ac:dyDescent="0.25"/>
  <cols>
    <col min="1" max="1" width="8.85546875" style="7" customWidth="1"/>
    <col min="2" max="2" width="19.85546875" style="7" hidden="1" customWidth="1"/>
    <col min="3" max="3" width="7" style="100" hidden="1" customWidth="1"/>
    <col min="4" max="4" width="21.42578125" style="7" bestFit="1" customWidth="1"/>
    <col min="5" max="5" width="17.5703125" style="7" bestFit="1" customWidth="1"/>
    <col min="6" max="6" width="12.28515625" style="7" customWidth="1"/>
    <col min="7" max="7" width="28.7109375" style="7" bestFit="1" customWidth="1"/>
    <col min="8" max="8" width="17.42578125" style="7" bestFit="1" customWidth="1"/>
    <col min="9" max="9" width="19.140625" style="7" bestFit="1" customWidth="1"/>
    <col min="10" max="10" width="15" style="7" bestFit="1" customWidth="1"/>
    <col min="11" max="11" width="14.140625" style="7" customWidth="1"/>
    <col min="12" max="12" width="5" style="2" customWidth="1"/>
    <col min="13" max="13" width="17.5703125" style="7" bestFit="1" customWidth="1"/>
    <col min="14" max="14" width="16.140625" style="7" bestFit="1" customWidth="1"/>
    <col min="15" max="15" width="21" style="7" bestFit="1" customWidth="1"/>
    <col min="16" max="16" width="13.7109375" style="7" bestFit="1" customWidth="1"/>
    <col min="17" max="17" width="14.28515625" style="102" customWidth="1"/>
    <col min="18" max="18" width="19" style="102" bestFit="1" customWidth="1"/>
    <col min="19" max="19" width="14.85546875" style="102" hidden="1" customWidth="1"/>
    <col min="20" max="20" width="18.140625" style="7" customWidth="1"/>
    <col min="21" max="21" width="19.42578125" style="7" customWidth="1"/>
    <col min="22" max="22" width="16.5703125" style="7" customWidth="1"/>
    <col min="23" max="23" width="16.140625" style="102" bestFit="1" customWidth="1"/>
    <col min="24" max="24" width="128.140625" style="100" customWidth="1"/>
    <col min="25" max="25" width="11.42578125" style="7"/>
    <col min="26" max="26" width="20.140625" style="7" customWidth="1"/>
    <col min="27" max="39" width="11.42578125" style="7"/>
    <col min="40" max="40" width="12.85546875" style="7" bestFit="1" customWidth="1"/>
    <col min="41" max="16384" width="11.42578125" style="7"/>
  </cols>
  <sheetData>
    <row r="1" spans="2:40" hidden="1" x14ac:dyDescent="0.25">
      <c r="B1" s="1" t="s">
        <v>0</v>
      </c>
      <c r="C1" s="175" t="s">
        <v>1</v>
      </c>
      <c r="D1" s="176"/>
      <c r="E1" s="176"/>
      <c r="F1" s="176"/>
      <c r="G1" s="176"/>
      <c r="H1" s="176"/>
      <c r="I1" s="176"/>
      <c r="J1" s="176"/>
      <c r="K1" s="176"/>
      <c r="M1" s="3"/>
      <c r="N1" s="3"/>
      <c r="O1" s="3"/>
      <c r="P1" s="3"/>
      <c r="Q1" s="4"/>
      <c r="R1" s="4"/>
      <c r="S1" s="4"/>
      <c r="T1" s="3"/>
      <c r="U1" s="3"/>
      <c r="V1" s="5"/>
      <c r="W1" s="4"/>
      <c r="X1" s="6"/>
    </row>
    <row r="2" spans="2:40" hidden="1" x14ac:dyDescent="0.25">
      <c r="B2" s="1" t="s">
        <v>2</v>
      </c>
      <c r="C2" s="176" t="s">
        <v>3</v>
      </c>
      <c r="D2" s="176"/>
      <c r="E2" s="176"/>
      <c r="F2" s="176"/>
      <c r="G2" s="176"/>
      <c r="H2" s="176"/>
      <c r="I2" s="176"/>
      <c r="J2" s="176"/>
      <c r="K2" s="176"/>
      <c r="M2" s="3"/>
      <c r="N2" s="3"/>
      <c r="O2" s="3"/>
      <c r="P2" s="3"/>
      <c r="Q2" s="4"/>
      <c r="R2" s="4"/>
      <c r="S2" s="4"/>
      <c r="T2" s="3"/>
      <c r="U2" s="3"/>
      <c r="V2" s="5"/>
      <c r="W2" s="4"/>
      <c r="X2" s="8"/>
    </row>
    <row r="3" spans="2:40" hidden="1" x14ac:dyDescent="0.25">
      <c r="B3" s="1" t="s">
        <v>4</v>
      </c>
      <c r="C3" s="175" t="s">
        <v>5</v>
      </c>
      <c r="D3" s="176"/>
      <c r="E3" s="176"/>
      <c r="F3" s="176"/>
      <c r="G3" s="176"/>
      <c r="H3" s="176"/>
      <c r="I3" s="176"/>
      <c r="J3" s="176"/>
      <c r="K3" s="176"/>
      <c r="M3" s="9"/>
      <c r="N3" s="9"/>
      <c r="O3" s="9"/>
      <c r="P3" s="3"/>
      <c r="Q3" s="10"/>
      <c r="R3" s="10"/>
      <c r="S3" s="11"/>
      <c r="T3" s="3"/>
      <c r="U3" s="3"/>
      <c r="V3" s="5"/>
      <c r="W3" s="4"/>
      <c r="X3" s="6"/>
    </row>
    <row r="4" spans="2:40" hidden="1" x14ac:dyDescent="0.25">
      <c r="B4" s="12" t="s">
        <v>6</v>
      </c>
      <c r="C4" s="176" t="s">
        <v>7</v>
      </c>
      <c r="D4" s="176"/>
      <c r="E4" s="176"/>
      <c r="F4" s="176"/>
      <c r="G4" s="176"/>
      <c r="H4" s="176"/>
      <c r="I4" s="176"/>
      <c r="J4" s="176"/>
      <c r="K4" s="176"/>
      <c r="M4" s="9"/>
      <c r="N4" s="9"/>
      <c r="O4" s="9"/>
      <c r="P4" s="3"/>
      <c r="Q4" s="10"/>
      <c r="R4" s="10"/>
      <c r="S4" s="11"/>
      <c r="T4" s="3"/>
      <c r="U4" s="3"/>
      <c r="V4" s="5"/>
      <c r="W4" s="4"/>
      <c r="X4" s="13"/>
    </row>
    <row r="5" spans="2:40" hidden="1" x14ac:dyDescent="0.25">
      <c r="B5" s="1" t="s">
        <v>8</v>
      </c>
      <c r="C5" s="177" t="s">
        <v>9</v>
      </c>
      <c r="D5" s="177"/>
      <c r="E5" s="177"/>
      <c r="F5" s="177"/>
      <c r="G5" s="177"/>
      <c r="H5" s="177"/>
      <c r="I5" s="177"/>
      <c r="J5" s="177"/>
      <c r="K5" s="177"/>
      <c r="M5" s="14"/>
      <c r="N5" s="14"/>
      <c r="O5" s="14"/>
      <c r="P5" s="3"/>
      <c r="Q5" s="15"/>
      <c r="R5" s="15"/>
      <c r="S5" s="16"/>
      <c r="T5" s="3"/>
      <c r="U5" s="3"/>
      <c r="V5" s="5"/>
      <c r="W5" s="4"/>
      <c r="X5" s="8"/>
    </row>
    <row r="6" spans="2:40" ht="31.5" hidden="1" x14ac:dyDescent="0.25">
      <c r="B6" s="17" t="s">
        <v>10</v>
      </c>
      <c r="C6" s="17"/>
      <c r="D6" s="18"/>
      <c r="E6" s="18"/>
      <c r="F6" s="18"/>
      <c r="G6" s="18"/>
      <c r="H6" s="18"/>
      <c r="I6" s="18"/>
      <c r="J6" s="18"/>
      <c r="K6" s="18"/>
      <c r="M6" s="19"/>
      <c r="N6" s="19"/>
      <c r="O6" s="19"/>
      <c r="P6" s="19"/>
      <c r="Q6" s="20"/>
      <c r="R6" s="20"/>
      <c r="S6" s="21"/>
      <c r="T6" s="22"/>
      <c r="U6" s="22"/>
      <c r="V6" s="22"/>
      <c r="W6" s="23"/>
      <c r="X6" s="22"/>
    </row>
    <row r="7" spans="2:40" s="32" customFormat="1" ht="50.25" customHeight="1" x14ac:dyDescent="0.25">
      <c r="B7" s="24" t="s">
        <v>11</v>
      </c>
      <c r="C7" s="24" t="s">
        <v>12</v>
      </c>
      <c r="D7" s="24" t="s">
        <v>13</v>
      </c>
      <c r="E7" s="24" t="s">
        <v>14</v>
      </c>
      <c r="F7" s="24" t="s">
        <v>15</v>
      </c>
      <c r="G7" s="24" t="s">
        <v>16</v>
      </c>
      <c r="H7" s="24" t="s">
        <v>17</v>
      </c>
      <c r="I7" s="24" t="s">
        <v>18</v>
      </c>
      <c r="J7" s="24" t="s">
        <v>19</v>
      </c>
      <c r="K7" s="24" t="s">
        <v>20</v>
      </c>
      <c r="L7" s="25"/>
      <c r="M7" s="26" t="s">
        <v>21</v>
      </c>
      <c r="N7" s="26" t="s">
        <v>22</v>
      </c>
      <c r="O7" s="26" t="s">
        <v>23</v>
      </c>
      <c r="P7" s="26" t="s">
        <v>24</v>
      </c>
      <c r="Q7" s="27" t="s">
        <v>25</v>
      </c>
      <c r="R7" s="27" t="s">
        <v>26</v>
      </c>
      <c r="S7" s="28" t="s">
        <v>27</v>
      </c>
      <c r="T7" s="29" t="s">
        <v>28</v>
      </c>
      <c r="U7" s="29" t="s">
        <v>29</v>
      </c>
      <c r="V7" s="30" t="s">
        <v>30</v>
      </c>
      <c r="W7" s="31" t="s">
        <v>31</v>
      </c>
      <c r="X7" s="29" t="s">
        <v>32</v>
      </c>
    </row>
    <row r="8" spans="2:40" ht="50.25" customHeight="1" x14ac:dyDescent="0.25">
      <c r="B8" s="33" t="s">
        <v>33</v>
      </c>
      <c r="C8" s="34">
        <v>30071</v>
      </c>
      <c r="D8" s="35" t="s">
        <v>34</v>
      </c>
      <c r="E8" s="36" t="s">
        <v>35</v>
      </c>
      <c r="F8" s="37">
        <v>71300</v>
      </c>
      <c r="G8" s="38" t="s">
        <v>36</v>
      </c>
      <c r="H8" s="39">
        <v>12500</v>
      </c>
      <c r="I8" s="39">
        <v>0</v>
      </c>
      <c r="J8" s="40">
        <v>0</v>
      </c>
      <c r="K8" s="40">
        <f t="shared" ref="K8:K20" si="0">SUM(H8:J8)</f>
        <v>12500</v>
      </c>
      <c r="L8" s="41"/>
      <c r="M8" s="40">
        <v>12500</v>
      </c>
      <c r="N8" s="42">
        <v>0</v>
      </c>
      <c r="O8" s="40">
        <f>+M8+N8</f>
        <v>12500</v>
      </c>
      <c r="P8" s="43">
        <f t="shared" ref="P8:P22" si="1">IF(K8=0,0,O8/K8)</f>
        <v>1</v>
      </c>
      <c r="Q8" s="39">
        <v>0</v>
      </c>
      <c r="R8" s="39">
        <v>0</v>
      </c>
      <c r="S8" s="39">
        <f t="shared" ref="S8:S20" si="2">+R8-Q8</f>
        <v>0</v>
      </c>
      <c r="T8" s="44">
        <v>0</v>
      </c>
      <c r="U8" s="40">
        <v>0</v>
      </c>
      <c r="V8" s="45">
        <f>+O8+R8</f>
        <v>12500</v>
      </c>
      <c r="W8" s="39">
        <f>+N8+T8</f>
        <v>0</v>
      </c>
      <c r="X8" s="46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</row>
    <row r="9" spans="2:40" ht="31.5" x14ac:dyDescent="0.25">
      <c r="B9" s="33" t="s">
        <v>33</v>
      </c>
      <c r="C9" s="34">
        <v>30071</v>
      </c>
      <c r="D9" s="35" t="s">
        <v>34</v>
      </c>
      <c r="E9" s="36" t="s">
        <v>35</v>
      </c>
      <c r="F9" s="37">
        <v>71400</v>
      </c>
      <c r="G9" s="38" t="s">
        <v>37</v>
      </c>
      <c r="H9" s="39">
        <v>95974.44</v>
      </c>
      <c r="I9" s="39">
        <v>17400</v>
      </c>
      <c r="J9" s="39">
        <v>33775.35</v>
      </c>
      <c r="K9" s="40">
        <f t="shared" si="0"/>
        <v>147149.79</v>
      </c>
      <c r="L9" s="48"/>
      <c r="M9" s="40">
        <v>42898.35</v>
      </c>
      <c r="N9" s="49">
        <v>59645.25</v>
      </c>
      <c r="O9" s="40">
        <f t="shared" ref="O9:O20" si="3">+M9+N9</f>
        <v>102543.6</v>
      </c>
      <c r="P9" s="43">
        <f t="shared" si="1"/>
        <v>0.69686541856430784</v>
      </c>
      <c r="Q9" s="39">
        <f t="shared" ref="Q9:Q20" si="4">+(H9-M9)+I9</f>
        <v>70476.09</v>
      </c>
      <c r="R9" s="39">
        <f t="shared" ref="R9:R20" si="5">+K9-M9-N9</f>
        <v>44606.19</v>
      </c>
      <c r="S9" s="39">
        <f t="shared" si="2"/>
        <v>-25869.899999999994</v>
      </c>
      <c r="T9" s="44">
        <v>11177.56</v>
      </c>
      <c r="U9" s="40">
        <f>+R9-T9</f>
        <v>33428.630000000005</v>
      </c>
      <c r="V9" s="45">
        <f t="shared" ref="V9:V20" si="6">+O9+R9</f>
        <v>147149.79</v>
      </c>
      <c r="W9" s="39">
        <f t="shared" ref="W9:W20" si="7">+N9+T9</f>
        <v>70822.81</v>
      </c>
      <c r="X9" s="50" t="s">
        <v>38</v>
      </c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</row>
    <row r="10" spans="2:40" ht="31.5" x14ac:dyDescent="0.25">
      <c r="B10" s="33" t="s">
        <v>33</v>
      </c>
      <c r="C10" s="34">
        <v>30071</v>
      </c>
      <c r="D10" s="35" t="s">
        <v>34</v>
      </c>
      <c r="E10" s="36" t="s">
        <v>35</v>
      </c>
      <c r="F10" s="37">
        <v>71600</v>
      </c>
      <c r="G10" s="38" t="s">
        <v>39</v>
      </c>
      <c r="H10" s="39">
        <v>9192.06</v>
      </c>
      <c r="I10" s="39">
        <v>0</v>
      </c>
      <c r="J10" s="40">
        <v>-1148.6500000000001</v>
      </c>
      <c r="K10" s="40">
        <f t="shared" si="0"/>
        <v>8043.41</v>
      </c>
      <c r="L10" s="48"/>
      <c r="M10" s="40">
        <v>2192.06</v>
      </c>
      <c r="N10" s="42"/>
      <c r="O10" s="40">
        <f t="shared" si="3"/>
        <v>2192.06</v>
      </c>
      <c r="P10" s="43">
        <f t="shared" si="1"/>
        <v>0.27252869118943335</v>
      </c>
      <c r="Q10" s="39">
        <f t="shared" si="4"/>
        <v>7000</v>
      </c>
      <c r="R10" s="39">
        <f t="shared" si="5"/>
        <v>5851.35</v>
      </c>
      <c r="S10" s="39">
        <f t="shared" si="2"/>
        <v>-1148.6499999999996</v>
      </c>
      <c r="T10" s="44"/>
      <c r="U10" s="40">
        <f t="shared" ref="U10:U19" si="8">+R10-T10</f>
        <v>5851.35</v>
      </c>
      <c r="V10" s="45">
        <f t="shared" si="6"/>
        <v>8043.41</v>
      </c>
      <c r="W10" s="39">
        <f t="shared" si="7"/>
        <v>0</v>
      </c>
      <c r="X10" s="50" t="s">
        <v>40</v>
      </c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</row>
    <row r="11" spans="2:40" ht="49.5" customHeight="1" x14ac:dyDescent="0.25">
      <c r="B11" s="33" t="s">
        <v>33</v>
      </c>
      <c r="C11" s="34">
        <v>30071</v>
      </c>
      <c r="D11" s="35" t="s">
        <v>34</v>
      </c>
      <c r="E11" s="36" t="s">
        <v>35</v>
      </c>
      <c r="F11" s="37">
        <v>72100</v>
      </c>
      <c r="G11" s="51" t="s">
        <v>41</v>
      </c>
      <c r="H11" s="39">
        <v>272450.21999999997</v>
      </c>
      <c r="I11" s="39">
        <v>260269.86</v>
      </c>
      <c r="J11" s="40">
        <f>-33775.35-300</f>
        <v>-34075.35</v>
      </c>
      <c r="K11" s="40">
        <f t="shared" si="0"/>
        <v>498644.73</v>
      </c>
      <c r="L11" s="52"/>
      <c r="M11" s="40">
        <v>8292.7199999999993</v>
      </c>
      <c r="N11" s="49">
        <v>193920</v>
      </c>
      <c r="O11" s="40">
        <f t="shared" si="3"/>
        <v>202212.72</v>
      </c>
      <c r="P11" s="43">
        <f t="shared" si="1"/>
        <v>0.40552463073258593</v>
      </c>
      <c r="Q11" s="39">
        <f t="shared" si="4"/>
        <v>524427.36</v>
      </c>
      <c r="R11" s="39">
        <f t="shared" si="5"/>
        <v>296432.01</v>
      </c>
      <c r="S11" s="39">
        <f t="shared" si="2"/>
        <v>-227995.34999999998</v>
      </c>
      <c r="T11" s="44">
        <v>242400</v>
      </c>
      <c r="U11" s="40">
        <f t="shared" si="8"/>
        <v>54032.010000000009</v>
      </c>
      <c r="V11" s="45">
        <f t="shared" si="6"/>
        <v>498644.73</v>
      </c>
      <c r="W11" s="39">
        <f t="shared" si="7"/>
        <v>436320</v>
      </c>
      <c r="X11" s="53" t="s">
        <v>42</v>
      </c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</row>
    <row r="12" spans="2:40" ht="31.5" x14ac:dyDescent="0.25">
      <c r="B12" s="33" t="s">
        <v>33</v>
      </c>
      <c r="C12" s="34">
        <v>30071</v>
      </c>
      <c r="D12" s="35" t="s">
        <v>34</v>
      </c>
      <c r="E12" s="36" t="s">
        <v>35</v>
      </c>
      <c r="F12" s="37">
        <v>72400</v>
      </c>
      <c r="G12" s="38" t="s">
        <v>43</v>
      </c>
      <c r="H12" s="39">
        <v>2963</v>
      </c>
      <c r="I12" s="39"/>
      <c r="J12" s="40">
        <v>-766.65</v>
      </c>
      <c r="K12" s="40">
        <f t="shared" si="0"/>
        <v>2196.35</v>
      </c>
      <c r="L12" s="48"/>
      <c r="M12" s="40">
        <v>951.6</v>
      </c>
      <c r="N12" s="42"/>
      <c r="O12" s="40">
        <f t="shared" si="3"/>
        <v>951.6</v>
      </c>
      <c r="P12" s="43">
        <f t="shared" si="1"/>
        <v>0.43326427937259548</v>
      </c>
      <c r="Q12" s="39">
        <f t="shared" si="4"/>
        <v>2011.4</v>
      </c>
      <c r="R12" s="39">
        <f t="shared" si="5"/>
        <v>1244.75</v>
      </c>
      <c r="S12" s="39">
        <f t="shared" si="2"/>
        <v>-766.65000000000009</v>
      </c>
      <c r="T12" s="44">
        <v>100</v>
      </c>
      <c r="U12" s="40">
        <f t="shared" si="8"/>
        <v>1144.75</v>
      </c>
      <c r="V12" s="45">
        <f t="shared" si="6"/>
        <v>2196.35</v>
      </c>
      <c r="W12" s="39">
        <f t="shared" si="7"/>
        <v>100</v>
      </c>
      <c r="X12" s="46" t="s">
        <v>44</v>
      </c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</row>
    <row r="13" spans="2:40" ht="31.5" x14ac:dyDescent="0.25">
      <c r="B13" s="33" t="s">
        <v>33</v>
      </c>
      <c r="C13" s="34">
        <v>30071</v>
      </c>
      <c r="D13" s="35" t="s">
        <v>34</v>
      </c>
      <c r="E13" s="36" t="s">
        <v>35</v>
      </c>
      <c r="F13" s="37">
        <v>72500</v>
      </c>
      <c r="G13" s="38" t="s">
        <v>45</v>
      </c>
      <c r="H13" s="39">
        <v>150</v>
      </c>
      <c r="I13" s="39"/>
      <c r="J13" s="40">
        <v>100</v>
      </c>
      <c r="K13" s="40">
        <f t="shared" si="0"/>
        <v>250</v>
      </c>
      <c r="L13" s="48"/>
      <c r="M13" s="40">
        <v>33.44</v>
      </c>
      <c r="N13" s="42">
        <v>0</v>
      </c>
      <c r="O13" s="40">
        <f t="shared" si="3"/>
        <v>33.44</v>
      </c>
      <c r="P13" s="43">
        <f t="shared" si="1"/>
        <v>0.13375999999999999</v>
      </c>
      <c r="Q13" s="39">
        <f t="shared" si="4"/>
        <v>116.56</v>
      </c>
      <c r="R13" s="39">
        <f t="shared" si="5"/>
        <v>216.56</v>
      </c>
      <c r="S13" s="39">
        <f t="shared" si="2"/>
        <v>100</v>
      </c>
      <c r="T13" s="44">
        <v>66.56</v>
      </c>
      <c r="U13" s="40">
        <f t="shared" si="8"/>
        <v>150</v>
      </c>
      <c r="V13" s="45">
        <f t="shared" si="6"/>
        <v>250</v>
      </c>
      <c r="W13" s="39">
        <f t="shared" si="7"/>
        <v>66.56</v>
      </c>
      <c r="X13" s="46" t="s">
        <v>46</v>
      </c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</row>
    <row r="14" spans="2:40" ht="31.5" x14ac:dyDescent="0.25">
      <c r="B14" s="33" t="s">
        <v>33</v>
      </c>
      <c r="C14" s="34">
        <v>30071</v>
      </c>
      <c r="D14" s="35" t="s">
        <v>34</v>
      </c>
      <c r="E14" s="36" t="s">
        <v>35</v>
      </c>
      <c r="F14" s="37">
        <v>73300</v>
      </c>
      <c r="G14" s="38" t="s">
        <v>47</v>
      </c>
      <c r="H14" s="39">
        <v>100</v>
      </c>
      <c r="I14" s="39"/>
      <c r="J14" s="40">
        <v>100</v>
      </c>
      <c r="K14" s="40">
        <f t="shared" si="0"/>
        <v>200</v>
      </c>
      <c r="L14" s="48"/>
      <c r="M14" s="40">
        <v>0</v>
      </c>
      <c r="N14" s="42">
        <v>0</v>
      </c>
      <c r="O14" s="40">
        <f t="shared" si="3"/>
        <v>0</v>
      </c>
      <c r="P14" s="43">
        <f t="shared" si="1"/>
        <v>0</v>
      </c>
      <c r="Q14" s="39">
        <f t="shared" si="4"/>
        <v>100</v>
      </c>
      <c r="R14" s="39">
        <f t="shared" si="5"/>
        <v>200</v>
      </c>
      <c r="S14" s="39">
        <f t="shared" si="2"/>
        <v>100</v>
      </c>
      <c r="T14" s="44"/>
      <c r="U14" s="40">
        <f t="shared" si="8"/>
        <v>200</v>
      </c>
      <c r="V14" s="45">
        <f t="shared" si="6"/>
        <v>200</v>
      </c>
      <c r="W14" s="39">
        <f t="shared" si="7"/>
        <v>0</v>
      </c>
      <c r="X14" s="46" t="s">
        <v>48</v>
      </c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</row>
    <row r="15" spans="2:40" ht="31.5" x14ac:dyDescent="0.25">
      <c r="B15" s="33"/>
      <c r="C15" s="34"/>
      <c r="D15" s="35" t="s">
        <v>34</v>
      </c>
      <c r="E15" s="36" t="s">
        <v>35</v>
      </c>
      <c r="F15" s="37">
        <v>74200</v>
      </c>
      <c r="G15" s="38" t="s">
        <v>49</v>
      </c>
      <c r="H15" s="39"/>
      <c r="I15" s="39"/>
      <c r="J15" s="40">
        <v>6500</v>
      </c>
      <c r="K15" s="40">
        <f t="shared" si="0"/>
        <v>6500</v>
      </c>
      <c r="L15" s="48"/>
      <c r="M15" s="40">
        <v>0</v>
      </c>
      <c r="N15" s="42"/>
      <c r="O15" s="40"/>
      <c r="P15" s="43"/>
      <c r="Q15" s="39">
        <f t="shared" si="4"/>
        <v>0</v>
      </c>
      <c r="R15" s="39">
        <f t="shared" si="5"/>
        <v>6500</v>
      </c>
      <c r="S15" s="39">
        <f t="shared" si="2"/>
        <v>6500</v>
      </c>
      <c r="T15" s="44"/>
      <c r="U15" s="40">
        <f t="shared" si="8"/>
        <v>6500</v>
      </c>
      <c r="V15" s="45">
        <f t="shared" si="6"/>
        <v>6500</v>
      </c>
      <c r="W15" s="39">
        <f t="shared" si="7"/>
        <v>0</v>
      </c>
      <c r="X15" s="46" t="s">
        <v>50</v>
      </c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</row>
    <row r="16" spans="2:40" ht="31.5" x14ac:dyDescent="0.25">
      <c r="B16" s="33" t="s">
        <v>33</v>
      </c>
      <c r="C16" s="34">
        <v>30071</v>
      </c>
      <c r="D16" s="35" t="s">
        <v>34</v>
      </c>
      <c r="E16" s="36" t="s">
        <v>35</v>
      </c>
      <c r="F16" s="37">
        <v>74500</v>
      </c>
      <c r="G16" s="38" t="s">
        <v>51</v>
      </c>
      <c r="H16" s="39">
        <v>90</v>
      </c>
      <c r="I16" s="54"/>
      <c r="J16" s="55"/>
      <c r="K16" s="40">
        <f t="shared" si="0"/>
        <v>90</v>
      </c>
      <c r="L16" s="48"/>
      <c r="M16" s="40">
        <v>22.97</v>
      </c>
      <c r="N16" s="49">
        <v>51.19</v>
      </c>
      <c r="O16" s="40">
        <f t="shared" si="3"/>
        <v>74.16</v>
      </c>
      <c r="P16" s="43">
        <f t="shared" si="1"/>
        <v>0.82399999999999995</v>
      </c>
      <c r="Q16" s="39">
        <f t="shared" si="4"/>
        <v>67.03</v>
      </c>
      <c r="R16" s="39">
        <f t="shared" si="5"/>
        <v>15.840000000000003</v>
      </c>
      <c r="S16" s="39">
        <f t="shared" si="2"/>
        <v>-51.19</v>
      </c>
      <c r="T16" s="44"/>
      <c r="U16" s="40">
        <f t="shared" si="8"/>
        <v>15.840000000000003</v>
      </c>
      <c r="V16" s="45">
        <f t="shared" si="6"/>
        <v>90</v>
      </c>
      <c r="W16" s="39">
        <f t="shared" si="7"/>
        <v>51.19</v>
      </c>
      <c r="X16" s="50" t="s">
        <v>52</v>
      </c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</row>
    <row r="17" spans="2:40" ht="31.5" x14ac:dyDescent="0.25">
      <c r="B17" s="33"/>
      <c r="C17" s="34"/>
      <c r="D17" s="35" t="s">
        <v>34</v>
      </c>
      <c r="E17" s="36" t="s">
        <v>35</v>
      </c>
      <c r="F17" s="37">
        <v>74596</v>
      </c>
      <c r="G17" s="38" t="s">
        <v>53</v>
      </c>
      <c r="H17" s="39">
        <v>8271.39</v>
      </c>
      <c r="I17" s="54"/>
      <c r="J17" s="55">
        <v>350</v>
      </c>
      <c r="K17" s="40">
        <f t="shared" si="0"/>
        <v>8621.39</v>
      </c>
      <c r="L17" s="48"/>
      <c r="M17" s="40">
        <v>2184.96</v>
      </c>
      <c r="N17" s="49">
        <v>2334.9899999999998</v>
      </c>
      <c r="O17" s="40">
        <f t="shared" si="3"/>
        <v>4519.95</v>
      </c>
      <c r="P17" s="43">
        <f t="shared" si="1"/>
        <v>0.52427160817455187</v>
      </c>
      <c r="Q17" s="39">
        <f t="shared" si="4"/>
        <v>6086.4299999999994</v>
      </c>
      <c r="R17" s="39">
        <f t="shared" si="5"/>
        <v>4101.4399999999996</v>
      </c>
      <c r="S17" s="39">
        <f t="shared" si="2"/>
        <v>-1984.9899999999998</v>
      </c>
      <c r="T17" s="44">
        <v>1407.68</v>
      </c>
      <c r="U17" s="40">
        <f t="shared" si="8"/>
        <v>2693.7599999999993</v>
      </c>
      <c r="V17" s="45">
        <f t="shared" si="6"/>
        <v>8621.39</v>
      </c>
      <c r="W17" s="39">
        <f t="shared" si="7"/>
        <v>3742.67</v>
      </c>
      <c r="X17" s="50" t="s">
        <v>53</v>
      </c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</row>
    <row r="18" spans="2:40" ht="31.5" x14ac:dyDescent="0.25">
      <c r="B18" s="33" t="s">
        <v>33</v>
      </c>
      <c r="C18" s="34">
        <v>30071</v>
      </c>
      <c r="D18" s="35" t="s">
        <v>34</v>
      </c>
      <c r="E18" s="36" t="s">
        <v>35</v>
      </c>
      <c r="F18" s="37">
        <v>74700</v>
      </c>
      <c r="G18" s="38" t="s">
        <v>54</v>
      </c>
      <c r="H18" s="39">
        <v>615</v>
      </c>
      <c r="I18" s="54"/>
      <c r="J18" s="55">
        <f>1148.65+4173.21+100</f>
        <v>5421.8600000000006</v>
      </c>
      <c r="K18" s="40">
        <f t="shared" si="0"/>
        <v>6036.8600000000006</v>
      </c>
      <c r="L18" s="48"/>
      <c r="M18" s="40">
        <v>288.2</v>
      </c>
      <c r="N18" s="49">
        <v>90.24</v>
      </c>
      <c r="O18" s="40">
        <f t="shared" si="3"/>
        <v>378.44</v>
      </c>
      <c r="P18" s="43">
        <f t="shared" si="1"/>
        <v>6.2688218709726573E-2</v>
      </c>
      <c r="Q18" s="39">
        <f t="shared" si="4"/>
        <v>326.8</v>
      </c>
      <c r="R18" s="39">
        <f t="shared" si="5"/>
        <v>5658.420000000001</v>
      </c>
      <c r="S18" s="39">
        <f t="shared" si="2"/>
        <v>5331.6200000000008</v>
      </c>
      <c r="T18" s="44">
        <v>100</v>
      </c>
      <c r="U18" s="40">
        <f t="shared" si="8"/>
        <v>5558.420000000001</v>
      </c>
      <c r="V18" s="45">
        <f t="shared" si="6"/>
        <v>6036.8600000000006</v>
      </c>
      <c r="W18" s="39">
        <f t="shared" si="7"/>
        <v>190.24</v>
      </c>
      <c r="X18" s="50" t="s">
        <v>55</v>
      </c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</row>
    <row r="19" spans="2:40" ht="31.5" x14ac:dyDescent="0.25">
      <c r="B19" s="33" t="s">
        <v>33</v>
      </c>
      <c r="C19" s="34">
        <v>30071</v>
      </c>
      <c r="D19" s="35" t="s">
        <v>34</v>
      </c>
      <c r="E19" s="36" t="s">
        <v>35</v>
      </c>
      <c r="F19" s="37">
        <v>75100</v>
      </c>
      <c r="G19" s="38" t="s">
        <v>56</v>
      </c>
      <c r="H19" s="39">
        <v>20529.990000000002</v>
      </c>
      <c r="I19" s="39">
        <v>13883.49</v>
      </c>
      <c r="J19" s="40">
        <v>416.65</v>
      </c>
      <c r="K19" s="40">
        <f t="shared" si="0"/>
        <v>34830.130000000005</v>
      </c>
      <c r="L19" s="48"/>
      <c r="M19" s="40">
        <v>3468.25</v>
      </c>
      <c r="N19" s="49">
        <v>12833.47</v>
      </c>
      <c r="O19" s="40">
        <f t="shared" si="3"/>
        <v>16301.72</v>
      </c>
      <c r="P19" s="43">
        <f t="shared" si="1"/>
        <v>0.46803500302755108</v>
      </c>
      <c r="Q19" s="39">
        <f t="shared" si="4"/>
        <v>30945.230000000003</v>
      </c>
      <c r="R19" s="39">
        <f t="shared" si="5"/>
        <v>18528.410000000003</v>
      </c>
      <c r="S19" s="39">
        <f t="shared" si="2"/>
        <v>-12416.82</v>
      </c>
      <c r="T19" s="44">
        <v>12767.59</v>
      </c>
      <c r="U19" s="40">
        <f t="shared" si="8"/>
        <v>5760.8200000000033</v>
      </c>
      <c r="V19" s="45">
        <f t="shared" si="6"/>
        <v>34830.130000000005</v>
      </c>
      <c r="W19" s="39">
        <f t="shared" si="7"/>
        <v>25601.059999999998</v>
      </c>
      <c r="X19" s="50" t="s">
        <v>57</v>
      </c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</row>
    <row r="20" spans="2:40" ht="31.5" x14ac:dyDescent="0.25">
      <c r="B20" s="33" t="s">
        <v>33</v>
      </c>
      <c r="C20" s="34">
        <v>30071</v>
      </c>
      <c r="D20" s="35" t="s">
        <v>34</v>
      </c>
      <c r="E20" s="36" t="s">
        <v>35</v>
      </c>
      <c r="F20" s="37">
        <v>75700</v>
      </c>
      <c r="G20" s="38" t="s">
        <v>58</v>
      </c>
      <c r="H20" s="54">
        <v>17043.310000000001</v>
      </c>
      <c r="I20" s="54">
        <v>0</v>
      </c>
      <c r="J20" s="55">
        <f>350+(-6500-4173.21-350)</f>
        <v>-10673.21</v>
      </c>
      <c r="K20" s="40">
        <f t="shared" si="0"/>
        <v>6370.1000000000022</v>
      </c>
      <c r="L20" s="48"/>
      <c r="M20" s="40">
        <v>0</v>
      </c>
      <c r="N20" s="49">
        <v>627.75</v>
      </c>
      <c r="O20" s="40">
        <f t="shared" si="3"/>
        <v>627.75</v>
      </c>
      <c r="P20" s="43">
        <f t="shared" si="1"/>
        <v>9.8546333652532889E-2</v>
      </c>
      <c r="Q20" s="39">
        <f t="shared" si="4"/>
        <v>17043.310000000001</v>
      </c>
      <c r="R20" s="39">
        <f t="shared" si="5"/>
        <v>5742.3500000000022</v>
      </c>
      <c r="S20" s="39">
        <f t="shared" si="2"/>
        <v>-11300.96</v>
      </c>
      <c r="T20" s="44">
        <v>100</v>
      </c>
      <c r="U20" s="40">
        <f>+R20-T20</f>
        <v>5642.3500000000022</v>
      </c>
      <c r="V20" s="45">
        <f t="shared" si="6"/>
        <v>6370.1000000000022</v>
      </c>
      <c r="W20" s="39">
        <f t="shared" si="7"/>
        <v>727.75</v>
      </c>
      <c r="X20" s="50" t="s">
        <v>59</v>
      </c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</row>
    <row r="21" spans="2:40" ht="32.25" thickBot="1" x14ac:dyDescent="0.3">
      <c r="B21" s="56" t="s">
        <v>60</v>
      </c>
      <c r="C21" s="57"/>
      <c r="D21" s="58" t="s">
        <v>61</v>
      </c>
      <c r="E21" s="58"/>
      <c r="F21" s="58"/>
      <c r="G21" s="59" t="s">
        <v>62</v>
      </c>
      <c r="H21" s="60">
        <f>SUM(H8:H20)</f>
        <v>439879.41</v>
      </c>
      <c r="I21" s="61">
        <f>SUM(I8:I20)</f>
        <v>291553.34999999998</v>
      </c>
      <c r="J21" s="61">
        <f>SUM(J8:J20)</f>
        <v>0</v>
      </c>
      <c r="K21" s="61">
        <f>SUM(K8:K20)</f>
        <v>731432.75999999989</v>
      </c>
      <c r="L21" s="48"/>
      <c r="M21" s="62">
        <f>SUM(M8:M20)</f>
        <v>72832.55</v>
      </c>
      <c r="N21" s="62">
        <f>SUM(N8:N20)</f>
        <v>269502.88999999996</v>
      </c>
      <c r="O21" s="62">
        <f>SUM(O8:O20)</f>
        <v>342335.43999999994</v>
      </c>
      <c r="P21" s="63">
        <f t="shared" si="1"/>
        <v>0.46803405414873678</v>
      </c>
      <c r="Q21" s="62">
        <f>SUM(Q8:Q20)</f>
        <v>658600.2100000002</v>
      </c>
      <c r="R21" s="62">
        <f>SUM(R8:R20)</f>
        <v>389097.31999999995</v>
      </c>
      <c r="S21" s="62">
        <f>SUM(S8:S20)</f>
        <v>-269502.88999999996</v>
      </c>
      <c r="T21" s="62">
        <f>SUM(T9:T20)</f>
        <v>268119.39</v>
      </c>
      <c r="U21" s="62">
        <f>SUM(U9:U20)</f>
        <v>120977.93000000002</v>
      </c>
      <c r="V21" s="62">
        <f>SUM(V8:V20)</f>
        <v>731432.75999999989</v>
      </c>
      <c r="W21" s="62">
        <f>SUM(W8:W20)</f>
        <v>537622.28</v>
      </c>
      <c r="X21" s="64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</row>
    <row r="22" spans="2:40" ht="40.5" customHeight="1" thickTop="1" x14ac:dyDescent="0.25">
      <c r="B22" s="65" t="s">
        <v>63</v>
      </c>
      <c r="C22" s="66">
        <v>30071</v>
      </c>
      <c r="D22" s="66" t="s">
        <v>34</v>
      </c>
      <c r="E22" s="67" t="s">
        <v>35</v>
      </c>
      <c r="F22" s="68">
        <v>71300</v>
      </c>
      <c r="G22" s="69" t="s">
        <v>36</v>
      </c>
      <c r="H22" s="70">
        <f>15470+35000-2470</f>
        <v>48000</v>
      </c>
      <c r="I22" s="71"/>
      <c r="J22" s="72"/>
      <c r="K22" s="73">
        <f t="shared" ref="K22:K27" si="9">SUM(H22:J22)</f>
        <v>48000</v>
      </c>
      <c r="L22" s="48"/>
      <c r="M22" s="40"/>
      <c r="N22" s="40">
        <v>32270</v>
      </c>
      <c r="O22" s="40">
        <f>SUM(M22:N22)</f>
        <v>32270</v>
      </c>
      <c r="P22" s="43">
        <f t="shared" si="1"/>
        <v>0.67229166666666662</v>
      </c>
      <c r="Q22" s="39">
        <f>+(H22-M22)+I22</f>
        <v>48000</v>
      </c>
      <c r="R22" s="39">
        <f t="shared" ref="R22:R27" si="10">+K22-M22-N22</f>
        <v>15730</v>
      </c>
      <c r="S22" s="39">
        <f>+R22-Q22</f>
        <v>-32270</v>
      </c>
      <c r="T22" s="40"/>
      <c r="U22" s="40">
        <f>+R22-T22</f>
        <v>15730</v>
      </c>
      <c r="V22" s="45">
        <f>O22+R22</f>
        <v>48000</v>
      </c>
      <c r="W22" s="39">
        <f>+N22+T22</f>
        <v>32270</v>
      </c>
      <c r="X22" s="50" t="s">
        <v>64</v>
      </c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</row>
    <row r="23" spans="2:40" ht="31.5" x14ac:dyDescent="0.25">
      <c r="B23" s="65" t="s">
        <v>63</v>
      </c>
      <c r="C23" s="66">
        <v>30071</v>
      </c>
      <c r="D23" s="66" t="s">
        <v>34</v>
      </c>
      <c r="E23" s="67" t="s">
        <v>35</v>
      </c>
      <c r="F23" s="68">
        <v>71400</v>
      </c>
      <c r="G23" s="69" t="s">
        <v>37</v>
      </c>
      <c r="H23" s="74">
        <v>5665</v>
      </c>
      <c r="I23" s="71"/>
      <c r="J23" s="72">
        <v>-5665</v>
      </c>
      <c r="K23" s="73">
        <f t="shared" si="9"/>
        <v>0</v>
      </c>
      <c r="L23" s="48"/>
      <c r="M23" s="40"/>
      <c r="N23" s="40"/>
      <c r="O23" s="40">
        <f t="shared" ref="O23:O27" si="11">SUM(M23:N23)</f>
        <v>0</v>
      </c>
      <c r="P23" s="43"/>
      <c r="Q23" s="39">
        <f>+(H23-M23)+I23</f>
        <v>5665</v>
      </c>
      <c r="R23" s="39">
        <f t="shared" si="10"/>
        <v>0</v>
      </c>
      <c r="S23" s="39">
        <f t="shared" ref="S23:S25" si="12">+R23-Q23</f>
        <v>-5665</v>
      </c>
      <c r="T23" s="40"/>
      <c r="U23" s="40">
        <f t="shared" ref="U23:U27" si="13">+R23-T23</f>
        <v>0</v>
      </c>
      <c r="V23" s="45">
        <f t="shared" ref="V23:V27" si="14">O23+R23</f>
        <v>0</v>
      </c>
      <c r="W23" s="39">
        <f t="shared" ref="W23:W27" si="15">+N23+T23</f>
        <v>0</v>
      </c>
      <c r="X23" s="50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</row>
    <row r="24" spans="2:40" ht="31.5" x14ac:dyDescent="0.25">
      <c r="B24" s="65"/>
      <c r="C24" s="66"/>
      <c r="D24" s="66" t="s">
        <v>34</v>
      </c>
      <c r="E24" s="67" t="s">
        <v>35</v>
      </c>
      <c r="F24" s="68">
        <v>71500</v>
      </c>
      <c r="G24" s="69" t="s">
        <v>65</v>
      </c>
      <c r="H24" s="74"/>
      <c r="I24" s="71"/>
      <c r="J24" s="72">
        <v>5665</v>
      </c>
      <c r="K24" s="73">
        <f t="shared" si="9"/>
        <v>5665</v>
      </c>
      <c r="L24" s="48"/>
      <c r="M24" s="40"/>
      <c r="N24" s="40"/>
      <c r="O24" s="40"/>
      <c r="P24" s="43"/>
      <c r="Q24" s="39"/>
      <c r="R24" s="39">
        <f t="shared" si="10"/>
        <v>5665</v>
      </c>
      <c r="S24" s="39">
        <f t="shared" si="12"/>
        <v>5665</v>
      </c>
      <c r="T24" s="40"/>
      <c r="U24" s="40">
        <f t="shared" si="13"/>
        <v>5665</v>
      </c>
      <c r="V24" s="45">
        <f t="shared" si="14"/>
        <v>5665</v>
      </c>
      <c r="W24" s="39">
        <f t="shared" si="15"/>
        <v>0</v>
      </c>
      <c r="X24" s="50" t="s">
        <v>66</v>
      </c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</row>
    <row r="25" spans="2:40" ht="31.5" x14ac:dyDescent="0.25">
      <c r="B25" s="65" t="s">
        <v>63</v>
      </c>
      <c r="C25" s="66">
        <v>30071</v>
      </c>
      <c r="D25" s="66" t="s">
        <v>34</v>
      </c>
      <c r="E25" s="67" t="s">
        <v>35</v>
      </c>
      <c r="F25" s="68">
        <v>74500</v>
      </c>
      <c r="G25" s="69" t="s">
        <v>41</v>
      </c>
      <c r="H25" s="74">
        <f>(+H22+H23+H27)*0.02</f>
        <v>1122.7</v>
      </c>
      <c r="I25" s="71"/>
      <c r="J25" s="72"/>
      <c r="K25" s="73">
        <f t="shared" si="9"/>
        <v>1122.7</v>
      </c>
      <c r="L25" s="48"/>
      <c r="M25" s="40"/>
      <c r="N25" s="40">
        <v>281.89999999999998</v>
      </c>
      <c r="O25" s="40">
        <f t="shared" si="11"/>
        <v>281.89999999999998</v>
      </c>
      <c r="P25" s="43"/>
      <c r="Q25" s="39">
        <f>+(H25-M25)+I25</f>
        <v>1122.7</v>
      </c>
      <c r="R25" s="39">
        <f t="shared" si="10"/>
        <v>840.80000000000007</v>
      </c>
      <c r="S25" s="39">
        <f t="shared" si="12"/>
        <v>-281.89999999999998</v>
      </c>
      <c r="T25" s="40">
        <v>789.48</v>
      </c>
      <c r="U25" s="40">
        <f t="shared" si="13"/>
        <v>51.32000000000005</v>
      </c>
      <c r="V25" s="45">
        <f t="shared" si="14"/>
        <v>1122.7</v>
      </c>
      <c r="W25" s="39">
        <f t="shared" si="15"/>
        <v>1071.3800000000001</v>
      </c>
      <c r="X25" s="50" t="s">
        <v>53</v>
      </c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</row>
    <row r="26" spans="2:40" ht="31.5" x14ac:dyDescent="0.25">
      <c r="B26" s="65" t="s">
        <v>63</v>
      </c>
      <c r="C26" s="66">
        <v>30071</v>
      </c>
      <c r="D26" s="66" t="s">
        <v>34</v>
      </c>
      <c r="E26" s="67" t="s">
        <v>35</v>
      </c>
      <c r="F26" s="68">
        <v>75100</v>
      </c>
      <c r="G26" s="69" t="s">
        <v>67</v>
      </c>
      <c r="H26" s="70">
        <f>+(H22+H23+H25+H27)*0.05</f>
        <v>2862.8850000000002</v>
      </c>
      <c r="I26" s="71"/>
      <c r="J26" s="72"/>
      <c r="K26" s="73">
        <f t="shared" si="9"/>
        <v>2862.8850000000002</v>
      </c>
      <c r="L26" s="75"/>
      <c r="M26" s="40"/>
      <c r="N26" s="40">
        <v>1627.624</v>
      </c>
      <c r="O26" s="40">
        <f t="shared" si="11"/>
        <v>1627.624</v>
      </c>
      <c r="P26" s="43"/>
      <c r="Q26" s="39">
        <f>+(H26-M26)+I26</f>
        <v>2862.8850000000002</v>
      </c>
      <c r="R26" s="39">
        <f t="shared" si="10"/>
        <v>1235.2610000000002</v>
      </c>
      <c r="S26" s="39">
        <f>+R26-Q26</f>
        <v>-1627.624</v>
      </c>
      <c r="T26" s="40">
        <v>39.47</v>
      </c>
      <c r="U26" s="40">
        <f t="shared" si="13"/>
        <v>1195.7910000000002</v>
      </c>
      <c r="V26" s="45">
        <f t="shared" si="14"/>
        <v>2862.8850000000002</v>
      </c>
      <c r="W26" s="39">
        <f t="shared" si="15"/>
        <v>1667.0940000000001</v>
      </c>
      <c r="X26" s="50" t="s">
        <v>57</v>
      </c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</row>
    <row r="27" spans="2:40" ht="31.5" x14ac:dyDescent="0.25">
      <c r="B27" s="65" t="s">
        <v>63</v>
      </c>
      <c r="C27" s="66">
        <v>30071</v>
      </c>
      <c r="D27" s="66" t="s">
        <v>34</v>
      </c>
      <c r="E27" s="67" t="s">
        <v>35</v>
      </c>
      <c r="F27" s="68">
        <v>75700</v>
      </c>
      <c r="G27" s="69" t="s">
        <v>51</v>
      </c>
      <c r="H27" s="76">
        <v>2470</v>
      </c>
      <c r="I27" s="71"/>
      <c r="J27" s="72"/>
      <c r="K27" s="73">
        <f t="shared" si="9"/>
        <v>2470</v>
      </c>
      <c r="L27" s="48"/>
      <c r="M27" s="40"/>
      <c r="N27" s="40"/>
      <c r="O27" s="40">
        <f t="shared" si="11"/>
        <v>0</v>
      </c>
      <c r="P27" s="43">
        <f>IF(K27=0,0,O27/K27)</f>
        <v>0</v>
      </c>
      <c r="Q27" s="39">
        <f>+(H27-M27)+I27</f>
        <v>2470</v>
      </c>
      <c r="R27" s="39">
        <f t="shared" si="10"/>
        <v>2470</v>
      </c>
      <c r="S27" s="39">
        <f>+R27-Q27</f>
        <v>0</v>
      </c>
      <c r="T27" s="40"/>
      <c r="U27" s="40">
        <f t="shared" si="13"/>
        <v>2470</v>
      </c>
      <c r="V27" s="45">
        <f t="shared" si="14"/>
        <v>2470</v>
      </c>
      <c r="W27" s="39">
        <f t="shared" si="15"/>
        <v>0</v>
      </c>
      <c r="X27" s="50" t="s">
        <v>68</v>
      </c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</row>
    <row r="28" spans="2:40" ht="32.25" thickBot="1" x14ac:dyDescent="0.3">
      <c r="B28" s="77" t="s">
        <v>69</v>
      </c>
      <c r="C28" s="78"/>
      <c r="D28" s="79" t="s">
        <v>70</v>
      </c>
      <c r="E28" s="80"/>
      <c r="F28" s="81" t="s">
        <v>71</v>
      </c>
      <c r="G28" s="82" t="s">
        <v>72</v>
      </c>
      <c r="H28" s="83">
        <f>SUM(H22:H27)</f>
        <v>60120.584999999999</v>
      </c>
      <c r="I28" s="83">
        <f>SUM(I22:I27)</f>
        <v>0</v>
      </c>
      <c r="J28" s="83">
        <f>SUM(J22:J27)</f>
        <v>0</v>
      </c>
      <c r="K28" s="83">
        <f>SUM(K22:K27)</f>
        <v>60120.584999999999</v>
      </c>
      <c r="L28" s="48"/>
      <c r="M28" s="84">
        <f>SUM(M22:M27)</f>
        <v>0</v>
      </c>
      <c r="N28" s="84">
        <f>SUM(N22:N27)</f>
        <v>34179.524000000005</v>
      </c>
      <c r="O28" s="84">
        <f>SUM(O22:O27)</f>
        <v>34179.524000000005</v>
      </c>
      <c r="P28" s="84">
        <f>IF(K28=0,0,O28/K28)</f>
        <v>0.56851615798482347</v>
      </c>
      <c r="Q28" s="84">
        <f t="shared" ref="Q28:W28" si="16">SUM(Q22:Q27)</f>
        <v>60120.584999999999</v>
      </c>
      <c r="R28" s="84">
        <f t="shared" si="16"/>
        <v>25941.060999999998</v>
      </c>
      <c r="S28" s="84">
        <f t="shared" si="16"/>
        <v>-34179.524000000005</v>
      </c>
      <c r="T28" s="84">
        <f t="shared" si="16"/>
        <v>828.95</v>
      </c>
      <c r="U28" s="84">
        <f t="shared" si="16"/>
        <v>25112.111000000001</v>
      </c>
      <c r="V28" s="84">
        <f t="shared" si="16"/>
        <v>60120.584999999999</v>
      </c>
      <c r="W28" s="84">
        <f t="shared" si="16"/>
        <v>35008.473999999995</v>
      </c>
      <c r="X28" s="85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</row>
    <row r="29" spans="2:40" s="5" customFormat="1" ht="17.25" thickTop="1" thickBot="1" x14ac:dyDescent="0.3">
      <c r="C29" s="8"/>
      <c r="H29" s="86"/>
      <c r="I29" s="86"/>
      <c r="J29" s="86"/>
      <c r="K29" s="86"/>
      <c r="L29" s="87"/>
      <c r="M29" s="86"/>
      <c r="N29" s="86"/>
      <c r="O29" s="86"/>
      <c r="P29" s="88"/>
      <c r="Q29" s="89"/>
      <c r="R29" s="89"/>
      <c r="S29" s="4"/>
      <c r="T29" s="86"/>
      <c r="U29" s="86"/>
      <c r="V29" s="90"/>
      <c r="W29" s="4"/>
      <c r="X29" s="91"/>
    </row>
    <row r="30" spans="2:40" s="5" customFormat="1" ht="17.25" thickTop="1" thickBot="1" x14ac:dyDescent="0.3">
      <c r="C30" s="8"/>
      <c r="D30" s="92" t="s">
        <v>73</v>
      </c>
      <c r="G30" s="93" t="s">
        <v>74</v>
      </c>
      <c r="H30" s="94">
        <f>+H28+H21</f>
        <v>499999.995</v>
      </c>
      <c r="I30" s="94">
        <f t="shared" ref="I30:K30" si="17">+I28+I21</f>
        <v>291553.34999999998</v>
      </c>
      <c r="J30" s="94">
        <f t="shared" si="17"/>
        <v>0</v>
      </c>
      <c r="K30" s="94">
        <f t="shared" si="17"/>
        <v>791553.34499999986</v>
      </c>
      <c r="L30" s="87"/>
      <c r="M30" s="94">
        <f>+M28+M21</f>
        <v>72832.55</v>
      </c>
      <c r="N30" s="94">
        <f t="shared" ref="N30:V30" si="18">+N28+N21</f>
        <v>303682.41399999999</v>
      </c>
      <c r="O30" s="94">
        <f t="shared" si="18"/>
        <v>376514.96399999992</v>
      </c>
      <c r="P30" s="94">
        <f t="shared" si="18"/>
        <v>1.0365502121335601</v>
      </c>
      <c r="Q30" s="94">
        <f t="shared" si="18"/>
        <v>718720.79500000016</v>
      </c>
      <c r="R30" s="94">
        <f t="shared" si="18"/>
        <v>415038.38099999994</v>
      </c>
      <c r="S30" s="94">
        <f t="shared" si="18"/>
        <v>-303682.41399999999</v>
      </c>
      <c r="T30" s="94">
        <f t="shared" si="18"/>
        <v>268948.34000000003</v>
      </c>
      <c r="U30" s="94">
        <f t="shared" si="18"/>
        <v>146090.04100000003</v>
      </c>
      <c r="V30" s="94">
        <f t="shared" si="18"/>
        <v>791553.34499999986</v>
      </c>
      <c r="W30" s="94">
        <f>+W28+W21</f>
        <v>572630.75400000007</v>
      </c>
      <c r="X30" s="95"/>
    </row>
    <row r="31" spans="2:40" s="5" customFormat="1" ht="16.5" thickTop="1" x14ac:dyDescent="0.25">
      <c r="C31" s="8"/>
      <c r="L31" s="87"/>
      <c r="Q31" s="4"/>
      <c r="R31" s="4"/>
      <c r="S31" s="4"/>
      <c r="V31" s="96"/>
      <c r="W31" s="4"/>
      <c r="X31" s="8"/>
    </row>
    <row r="32" spans="2:40" s="5" customFormat="1" x14ac:dyDescent="0.25">
      <c r="C32" s="8"/>
      <c r="G32" s="97"/>
      <c r="H32" s="98"/>
      <c r="K32" s="98"/>
      <c r="L32" s="87"/>
      <c r="N32" s="98"/>
      <c r="O32" s="98"/>
      <c r="Q32" s="4"/>
      <c r="R32" s="4">
        <f>+R30+O30</f>
        <v>791553.34499999986</v>
      </c>
      <c r="S32" s="4"/>
      <c r="T32" s="96"/>
      <c r="U32" s="96"/>
      <c r="V32" s="98"/>
      <c r="W32" s="4">
        <f>+W30+U30</f>
        <v>718720.79500000016</v>
      </c>
      <c r="X32" s="8"/>
    </row>
    <row r="33" spans="2:24" s="5" customFormat="1" x14ac:dyDescent="0.25">
      <c r="B33" s="92"/>
      <c r="C33" s="8"/>
      <c r="K33" s="4"/>
      <c r="L33" s="87"/>
      <c r="N33" s="98"/>
      <c r="O33" s="98"/>
      <c r="P33" s="98"/>
      <c r="Q33" s="4"/>
      <c r="R33" s="4"/>
      <c r="S33" s="4"/>
      <c r="V33" s="98"/>
      <c r="W33" s="4">
        <f>+Q30-W32</f>
        <v>0</v>
      </c>
      <c r="X33" s="8"/>
    </row>
    <row r="34" spans="2:24" x14ac:dyDescent="0.25">
      <c r="B34" s="99"/>
      <c r="J34" s="101"/>
      <c r="K34" s="102"/>
      <c r="N34" s="103"/>
      <c r="V34" s="103"/>
    </row>
    <row r="35" spans="2:24" x14ac:dyDescent="0.25">
      <c r="B35" s="100"/>
      <c r="C35" s="174"/>
      <c r="D35" s="174"/>
      <c r="E35" s="174"/>
      <c r="F35" s="174"/>
      <c r="G35" s="174"/>
      <c r="H35" s="103"/>
      <c r="J35" s="101"/>
      <c r="K35" s="102"/>
      <c r="M35" s="102"/>
      <c r="N35" s="102"/>
      <c r="V35" s="103"/>
    </row>
    <row r="36" spans="2:24" x14ac:dyDescent="0.25">
      <c r="B36" s="100"/>
      <c r="C36" s="174"/>
      <c r="D36" s="174"/>
      <c r="E36" s="174"/>
      <c r="F36" s="174"/>
      <c r="G36" s="174"/>
      <c r="J36" s="101"/>
      <c r="M36" s="103"/>
      <c r="N36" s="103"/>
      <c r="V36" s="103"/>
    </row>
    <row r="37" spans="2:24" x14ac:dyDescent="0.25">
      <c r="B37" s="100"/>
      <c r="C37" s="174"/>
      <c r="D37" s="174"/>
      <c r="E37" s="174"/>
      <c r="F37" s="174"/>
      <c r="G37" s="174"/>
      <c r="J37" s="101"/>
      <c r="K37" s="102"/>
      <c r="V37" s="103"/>
    </row>
    <row r="38" spans="2:24" x14ac:dyDescent="0.25">
      <c r="B38" s="100"/>
      <c r="C38" s="174"/>
      <c r="D38" s="174"/>
      <c r="E38" s="174"/>
      <c r="F38" s="174"/>
      <c r="G38" s="174"/>
      <c r="J38" s="103"/>
      <c r="K38" s="104"/>
    </row>
    <row r="39" spans="2:24" x14ac:dyDescent="0.25">
      <c r="B39" s="100"/>
      <c r="C39" s="174"/>
      <c r="D39" s="174"/>
      <c r="E39" s="174"/>
      <c r="F39" s="174"/>
      <c r="G39" s="174"/>
    </row>
    <row r="40" spans="2:24" x14ac:dyDescent="0.25">
      <c r="B40" s="100"/>
      <c r="C40" s="174"/>
      <c r="D40" s="174"/>
      <c r="E40" s="174"/>
      <c r="F40" s="174"/>
      <c r="G40" s="174"/>
    </row>
    <row r="41" spans="2:24" x14ac:dyDescent="0.25">
      <c r="B41" s="99"/>
      <c r="C41" s="174"/>
      <c r="D41" s="174"/>
      <c r="E41" s="174"/>
      <c r="F41" s="174"/>
      <c r="G41" s="174"/>
      <c r="M41" s="103"/>
      <c r="N41" s="103"/>
    </row>
    <row r="42" spans="2:24" x14ac:dyDescent="0.25">
      <c r="C42" s="174"/>
      <c r="D42" s="174"/>
      <c r="E42" s="174"/>
      <c r="F42" s="174"/>
      <c r="G42" s="174"/>
      <c r="M42" s="103"/>
      <c r="N42" s="103"/>
    </row>
    <row r="43" spans="2:24" x14ac:dyDescent="0.25">
      <c r="C43" s="174"/>
      <c r="D43" s="174"/>
      <c r="E43" s="174"/>
      <c r="F43" s="174"/>
      <c r="G43" s="174"/>
    </row>
    <row r="44" spans="2:24" x14ac:dyDescent="0.25">
      <c r="C44" s="174"/>
      <c r="D44" s="174"/>
      <c r="E44" s="174"/>
      <c r="F44" s="174"/>
      <c r="G44" s="174"/>
    </row>
    <row r="45" spans="2:24" x14ac:dyDescent="0.25">
      <c r="C45" s="174"/>
      <c r="D45" s="174"/>
      <c r="E45" s="174"/>
      <c r="F45" s="174"/>
      <c r="G45" s="174"/>
    </row>
    <row r="46" spans="2:24" x14ac:dyDescent="0.25">
      <c r="C46" s="174"/>
      <c r="D46" s="174"/>
      <c r="E46" s="174"/>
      <c r="F46" s="174"/>
      <c r="G46" s="174"/>
    </row>
    <row r="47" spans="2:24" x14ac:dyDescent="0.25">
      <c r="C47" s="174"/>
      <c r="D47" s="174"/>
      <c r="E47" s="174"/>
      <c r="F47" s="174"/>
      <c r="G47" s="174"/>
    </row>
    <row r="48" spans="2:24" x14ac:dyDescent="0.25">
      <c r="C48" s="174"/>
      <c r="D48" s="174"/>
      <c r="E48" s="174"/>
      <c r="F48" s="174"/>
      <c r="G48" s="174"/>
    </row>
    <row r="49" spans="3:7" x14ac:dyDescent="0.25">
      <c r="C49" s="174"/>
      <c r="D49" s="174"/>
      <c r="E49" s="174"/>
      <c r="F49" s="174"/>
      <c r="G49" s="174"/>
    </row>
    <row r="50" spans="3:7" x14ac:dyDescent="0.25">
      <c r="C50" s="174"/>
      <c r="D50" s="174"/>
      <c r="E50" s="174"/>
      <c r="F50" s="174"/>
      <c r="G50" s="174"/>
    </row>
    <row r="51" spans="3:7" x14ac:dyDescent="0.25">
      <c r="C51" s="174"/>
      <c r="D51" s="174"/>
      <c r="E51" s="174"/>
      <c r="F51" s="174"/>
      <c r="G51" s="174"/>
    </row>
  </sheetData>
  <protectedRanges>
    <protectedRange algorithmName="SHA-512" hashValue="uwWbYys/eg+MzKSxU0Jk/7sZwQodOd8u03Ik+zCEq0neHb2AFr5+ksJTU3r/TRlMtJofi7EhLizfLFsXYICVJA==" saltValue="87ymcmsmnLSRtbMya5hA8Q==" spinCount="100000" sqref="Y1:XFD1048576 B31:U1048576 W31:XFD31 V32:XFD1048576" name="Rango1"/>
  </protectedRanges>
  <autoFilter ref="B7:AN7" xr:uid="{12357771-3F65-465E-83A8-7B598B1FC340}"/>
  <mergeCells count="22">
    <mergeCell ref="C48:G48"/>
    <mergeCell ref="C49:G49"/>
    <mergeCell ref="C50:G50"/>
    <mergeCell ref="C51:G51"/>
    <mergeCell ref="C42:G42"/>
    <mergeCell ref="C43:G43"/>
    <mergeCell ref="C44:G44"/>
    <mergeCell ref="C45:G45"/>
    <mergeCell ref="C46:G46"/>
    <mergeCell ref="C47:G47"/>
    <mergeCell ref="C41:G41"/>
    <mergeCell ref="C1:K1"/>
    <mergeCell ref="C2:K2"/>
    <mergeCell ref="C3:K3"/>
    <mergeCell ref="C4:K4"/>
    <mergeCell ref="C5:K5"/>
    <mergeCell ref="C35:G35"/>
    <mergeCell ref="C36:G36"/>
    <mergeCell ref="C37:G37"/>
    <mergeCell ref="C38:G38"/>
    <mergeCell ref="C39:G39"/>
    <mergeCell ref="C40:G40"/>
  </mergeCells>
  <pageMargins left="0.7" right="0.7" top="0.75" bottom="0.75" header="0.3" footer="0.3"/>
  <pageSetup scale="27" fitToHeight="0" orientation="landscape" horizontalDpi="360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18A63-B9B9-4203-9B36-77484F3480DF}">
  <sheetPr codeName="Hoja2">
    <pageSetUpPr fitToPage="1"/>
  </sheetPr>
  <dimension ref="B1:AN52"/>
  <sheetViews>
    <sheetView topLeftCell="M7" zoomScale="120" zoomScaleNormal="120" workbookViewId="0">
      <pane ySplit="1" topLeftCell="A22" activePane="bottomLeft" state="frozen"/>
      <selection activeCell="I7" sqref="I7"/>
      <selection pane="bottomLeft" activeCell="O38" sqref="O38"/>
    </sheetView>
  </sheetViews>
  <sheetFormatPr baseColWidth="10" defaultColWidth="11.42578125" defaultRowHeight="15.75" x14ac:dyDescent="0.25"/>
  <cols>
    <col min="1" max="1" width="8.85546875" style="7" customWidth="1"/>
    <col min="2" max="2" width="19.85546875" style="7" hidden="1" customWidth="1"/>
    <col min="3" max="3" width="11.42578125" style="100" bestFit="1" customWidth="1"/>
    <col min="4" max="4" width="19.42578125" style="7" bestFit="1" customWidth="1"/>
    <col min="5" max="5" width="16.42578125" style="7" bestFit="1" customWidth="1"/>
    <col min="6" max="6" width="12.28515625" style="7" customWidth="1"/>
    <col min="7" max="7" width="28.7109375" style="7" bestFit="1" customWidth="1"/>
    <col min="8" max="8" width="17.42578125" style="7" bestFit="1" customWidth="1"/>
    <col min="9" max="9" width="16.140625" style="7" customWidth="1"/>
    <col min="10" max="10" width="15" style="7" bestFit="1" customWidth="1"/>
    <col min="11" max="11" width="14.140625" style="7" customWidth="1"/>
    <col min="12" max="12" width="5" style="2" customWidth="1"/>
    <col min="13" max="13" width="17.5703125" style="7" bestFit="1" customWidth="1"/>
    <col min="14" max="14" width="19.85546875" style="7" bestFit="1" customWidth="1"/>
    <col min="15" max="15" width="21.28515625" style="7" customWidth="1"/>
    <col min="16" max="16" width="12.140625" style="7" bestFit="1" customWidth="1"/>
    <col min="17" max="17" width="14.28515625" style="102" customWidth="1"/>
    <col min="18" max="18" width="19.5703125" style="102" bestFit="1" customWidth="1"/>
    <col min="19" max="19" width="14.85546875" style="102" bestFit="1" customWidth="1"/>
    <col min="20" max="20" width="16.42578125" style="7" customWidth="1"/>
    <col min="21" max="21" width="17.5703125" style="7" customWidth="1"/>
    <col min="22" max="22" width="16.5703125" style="7" customWidth="1"/>
    <col min="23" max="23" width="16.140625" style="102" bestFit="1" customWidth="1"/>
    <col min="24" max="24" width="128.140625" style="100" customWidth="1"/>
    <col min="25" max="25" width="11.42578125" style="7"/>
    <col min="26" max="26" width="20.140625" style="7" customWidth="1"/>
    <col min="27" max="39" width="11.42578125" style="7"/>
    <col min="40" max="40" width="12.85546875" style="7" bestFit="1" customWidth="1"/>
    <col min="41" max="16384" width="11.42578125" style="7"/>
  </cols>
  <sheetData>
    <row r="1" spans="2:40" hidden="1" x14ac:dyDescent="0.25">
      <c r="B1" s="1" t="s">
        <v>0</v>
      </c>
      <c r="C1" s="175" t="s">
        <v>1</v>
      </c>
      <c r="D1" s="176"/>
      <c r="E1" s="176"/>
      <c r="F1" s="176"/>
      <c r="G1" s="176"/>
      <c r="H1" s="176"/>
      <c r="I1" s="176"/>
      <c r="J1" s="176"/>
      <c r="K1" s="176"/>
      <c r="M1" s="3"/>
      <c r="N1" s="3"/>
      <c r="O1" s="3"/>
      <c r="P1" s="3"/>
      <c r="Q1" s="4"/>
      <c r="R1" s="4"/>
      <c r="S1" s="4"/>
      <c r="T1" s="3"/>
      <c r="U1" s="3"/>
      <c r="V1" s="5"/>
      <c r="W1" s="4"/>
      <c r="X1" s="6"/>
    </row>
    <row r="2" spans="2:40" hidden="1" x14ac:dyDescent="0.25">
      <c r="B2" s="1" t="s">
        <v>2</v>
      </c>
      <c r="C2" s="176" t="s">
        <v>3</v>
      </c>
      <c r="D2" s="176"/>
      <c r="E2" s="176"/>
      <c r="F2" s="176"/>
      <c r="G2" s="176"/>
      <c r="H2" s="176"/>
      <c r="I2" s="176"/>
      <c r="J2" s="176"/>
      <c r="K2" s="176"/>
      <c r="M2" s="3"/>
      <c r="N2" s="3"/>
      <c r="O2" s="3"/>
      <c r="P2" s="3"/>
      <c r="Q2" s="4"/>
      <c r="R2" s="4"/>
      <c r="S2" s="4"/>
      <c r="T2" s="3"/>
      <c r="U2" s="3"/>
      <c r="V2" s="5"/>
      <c r="W2" s="4"/>
      <c r="X2" s="8"/>
    </row>
    <row r="3" spans="2:40" hidden="1" x14ac:dyDescent="0.25">
      <c r="B3" s="1" t="s">
        <v>4</v>
      </c>
      <c r="C3" s="175" t="s">
        <v>5</v>
      </c>
      <c r="D3" s="176"/>
      <c r="E3" s="176"/>
      <c r="F3" s="176"/>
      <c r="G3" s="176"/>
      <c r="H3" s="176"/>
      <c r="I3" s="176"/>
      <c r="J3" s="176"/>
      <c r="K3" s="176"/>
      <c r="M3" s="9"/>
      <c r="N3" s="9"/>
      <c r="O3" s="9"/>
      <c r="P3" s="3"/>
      <c r="Q3" s="10"/>
      <c r="R3" s="10"/>
      <c r="S3" s="11"/>
      <c r="T3" s="3"/>
      <c r="U3" s="3"/>
      <c r="V3" s="5"/>
      <c r="W3" s="4"/>
      <c r="X3" s="6"/>
    </row>
    <row r="4" spans="2:40" hidden="1" x14ac:dyDescent="0.25">
      <c r="B4" s="12" t="s">
        <v>6</v>
      </c>
      <c r="C4" s="176" t="s">
        <v>7</v>
      </c>
      <c r="D4" s="176"/>
      <c r="E4" s="176"/>
      <c r="F4" s="176"/>
      <c r="G4" s="176"/>
      <c r="H4" s="176"/>
      <c r="I4" s="176"/>
      <c r="J4" s="176"/>
      <c r="K4" s="176"/>
      <c r="M4" s="9"/>
      <c r="N4" s="9"/>
      <c r="O4" s="9"/>
      <c r="P4" s="3"/>
      <c r="Q4" s="10"/>
      <c r="R4" s="10"/>
      <c r="S4" s="11"/>
      <c r="T4" s="3"/>
      <c r="U4" s="3"/>
      <c r="V4" s="5"/>
      <c r="W4" s="4"/>
      <c r="X4" s="13"/>
    </row>
    <row r="5" spans="2:40" hidden="1" x14ac:dyDescent="0.25">
      <c r="B5" s="1" t="s">
        <v>8</v>
      </c>
      <c r="C5" s="177" t="s">
        <v>9</v>
      </c>
      <c r="D5" s="177"/>
      <c r="E5" s="177"/>
      <c r="F5" s="177"/>
      <c r="G5" s="177"/>
      <c r="H5" s="177"/>
      <c r="I5" s="177"/>
      <c r="J5" s="177"/>
      <c r="K5" s="177"/>
      <c r="M5" s="14"/>
      <c r="N5" s="14"/>
      <c r="O5" s="14"/>
      <c r="P5" s="3"/>
      <c r="Q5" s="15"/>
      <c r="R5" s="15"/>
      <c r="S5" s="16"/>
      <c r="T5" s="3"/>
      <c r="U5" s="3"/>
      <c r="V5" s="5"/>
      <c r="W5" s="4"/>
      <c r="X5" s="8"/>
    </row>
    <row r="6" spans="2:40" ht="31.5" hidden="1" x14ac:dyDescent="0.25">
      <c r="B6" s="17" t="s">
        <v>10</v>
      </c>
      <c r="C6" s="17"/>
      <c r="D6" s="18"/>
      <c r="E6" s="18"/>
      <c r="F6" s="18"/>
      <c r="G6" s="18"/>
      <c r="H6" s="18"/>
      <c r="I6" s="18"/>
      <c r="J6" s="18"/>
      <c r="K6" s="18"/>
      <c r="M6" s="19"/>
      <c r="N6" s="19"/>
      <c r="O6" s="19"/>
      <c r="P6" s="19"/>
      <c r="Q6" s="20"/>
      <c r="R6" s="20"/>
      <c r="S6" s="21"/>
      <c r="T6" s="22"/>
      <c r="U6" s="22"/>
      <c r="V6" s="22"/>
      <c r="W6" s="23"/>
      <c r="X6" s="22"/>
    </row>
    <row r="7" spans="2:40" s="32" customFormat="1" ht="50.25" customHeight="1" x14ac:dyDescent="0.25">
      <c r="B7" s="24" t="s">
        <v>11</v>
      </c>
      <c r="C7" s="24" t="s">
        <v>12</v>
      </c>
      <c r="D7" s="24" t="s">
        <v>13</v>
      </c>
      <c r="E7" s="24" t="s">
        <v>14</v>
      </c>
      <c r="F7" s="24" t="s">
        <v>15</v>
      </c>
      <c r="G7" s="24" t="s">
        <v>16</v>
      </c>
      <c r="H7" s="24" t="s">
        <v>17</v>
      </c>
      <c r="I7" s="24" t="s">
        <v>18</v>
      </c>
      <c r="J7" s="24" t="s">
        <v>19</v>
      </c>
      <c r="K7" s="24" t="s">
        <v>20</v>
      </c>
      <c r="L7" s="25"/>
      <c r="M7" s="26" t="s">
        <v>21</v>
      </c>
      <c r="N7" s="26" t="s">
        <v>22</v>
      </c>
      <c r="O7" s="26" t="s">
        <v>23</v>
      </c>
      <c r="P7" s="26" t="s">
        <v>24</v>
      </c>
      <c r="Q7" s="27" t="s">
        <v>25</v>
      </c>
      <c r="R7" s="27" t="s">
        <v>26</v>
      </c>
      <c r="S7" s="28" t="s">
        <v>27</v>
      </c>
      <c r="T7" s="29" t="s">
        <v>131</v>
      </c>
      <c r="U7" s="29" t="s">
        <v>29</v>
      </c>
      <c r="V7" s="30" t="s">
        <v>30</v>
      </c>
      <c r="W7" s="123" t="s">
        <v>31</v>
      </c>
      <c r="X7" s="29" t="s">
        <v>32</v>
      </c>
    </row>
    <row r="8" spans="2:40" ht="50.25" customHeight="1" x14ac:dyDescent="0.25">
      <c r="B8" s="33" t="s">
        <v>33</v>
      </c>
      <c r="C8" s="34">
        <v>30071</v>
      </c>
      <c r="D8" s="35" t="s">
        <v>34</v>
      </c>
      <c r="E8" s="36" t="s">
        <v>35</v>
      </c>
      <c r="F8" s="37">
        <v>71300</v>
      </c>
      <c r="G8" s="38" t="s">
        <v>36</v>
      </c>
      <c r="H8" s="39">
        <v>12500</v>
      </c>
      <c r="I8" s="39">
        <v>0</v>
      </c>
      <c r="J8" s="40">
        <v>0</v>
      </c>
      <c r="K8" s="40">
        <f t="shared" ref="K8:K21" si="0">SUM(H8:J8)</f>
        <v>12500</v>
      </c>
      <c r="L8" s="41"/>
      <c r="M8" s="40">
        <v>12500</v>
      </c>
      <c r="N8" s="42">
        <v>0</v>
      </c>
      <c r="O8" s="40">
        <f>+M8+N8</f>
        <v>12500</v>
      </c>
      <c r="P8" s="43">
        <f t="shared" ref="P8:P23" si="1">IF(K8=0,0,O8/K8)</f>
        <v>1</v>
      </c>
      <c r="Q8" s="39">
        <v>0</v>
      </c>
      <c r="R8" s="39">
        <v>0</v>
      </c>
      <c r="S8" s="39">
        <f t="shared" ref="S8:S21" si="2">+R8-Q8</f>
        <v>0</v>
      </c>
      <c r="T8" s="44">
        <v>0</v>
      </c>
      <c r="U8" s="40">
        <v>0</v>
      </c>
      <c r="V8" s="45">
        <f>+O8+R8</f>
        <v>12500</v>
      </c>
      <c r="W8" s="39">
        <f t="shared" ref="W8:W13" si="3">+N8+T8</f>
        <v>0</v>
      </c>
      <c r="X8" s="46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</row>
    <row r="9" spans="2:40" ht="31.5" x14ac:dyDescent="0.25">
      <c r="B9" s="33" t="s">
        <v>33</v>
      </c>
      <c r="C9" s="34">
        <v>30071</v>
      </c>
      <c r="D9" s="35" t="s">
        <v>34</v>
      </c>
      <c r="E9" s="36" t="s">
        <v>35</v>
      </c>
      <c r="F9" s="37">
        <v>71400</v>
      </c>
      <c r="G9" s="38" t="s">
        <v>37</v>
      </c>
      <c r="H9" s="39">
        <v>95974.44</v>
      </c>
      <c r="I9" s="39">
        <v>17400</v>
      </c>
      <c r="J9" s="39">
        <v>33775.35</v>
      </c>
      <c r="K9" s="40">
        <f t="shared" si="0"/>
        <v>147149.79</v>
      </c>
      <c r="L9" s="48"/>
      <c r="M9" s="40">
        <v>42898.35</v>
      </c>
      <c r="N9" s="49">
        <v>65234.03</v>
      </c>
      <c r="O9" s="40">
        <f t="shared" ref="O9:O21" si="4">+M9+N9</f>
        <v>108132.38</v>
      </c>
      <c r="P9" s="43">
        <f t="shared" si="1"/>
        <v>0.73484562906953521</v>
      </c>
      <c r="Q9" s="39">
        <f>+(H9-M9)+I9</f>
        <v>70476.09</v>
      </c>
      <c r="R9" s="39">
        <f>+K9-M9-N9</f>
        <v>39017.410000000003</v>
      </c>
      <c r="S9" s="39">
        <f t="shared" si="2"/>
        <v>-31458.679999999993</v>
      </c>
      <c r="T9" s="44">
        <v>5588.78</v>
      </c>
      <c r="U9" s="40">
        <f>+R9-T9</f>
        <v>33428.630000000005</v>
      </c>
      <c r="V9" s="45">
        <f t="shared" ref="V9:V21" si="5">+O9+R9</f>
        <v>147149.79</v>
      </c>
      <c r="W9" s="39">
        <f t="shared" si="3"/>
        <v>70822.81</v>
      </c>
      <c r="X9" s="50" t="s">
        <v>38</v>
      </c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</row>
    <row r="10" spans="2:40" ht="31.5" x14ac:dyDescent="0.25">
      <c r="B10" s="33" t="s">
        <v>33</v>
      </c>
      <c r="C10" s="34">
        <v>30071</v>
      </c>
      <c r="D10" s="35" t="s">
        <v>34</v>
      </c>
      <c r="E10" s="36" t="s">
        <v>35</v>
      </c>
      <c r="F10" s="37">
        <v>71600</v>
      </c>
      <c r="G10" s="38" t="s">
        <v>39</v>
      </c>
      <c r="H10" s="39">
        <v>9192.06</v>
      </c>
      <c r="I10" s="39">
        <v>0</v>
      </c>
      <c r="J10" s="40">
        <v>-1148.6500000000001</v>
      </c>
      <c r="K10" s="40">
        <f t="shared" si="0"/>
        <v>8043.41</v>
      </c>
      <c r="L10" s="48"/>
      <c r="M10" s="40">
        <v>2192.06</v>
      </c>
      <c r="N10" s="42"/>
      <c r="O10" s="40">
        <f t="shared" si="4"/>
        <v>2192.06</v>
      </c>
      <c r="P10" s="43">
        <f t="shared" si="1"/>
        <v>0.27252869118943335</v>
      </c>
      <c r="Q10" s="39">
        <f t="shared" ref="Q10:Q21" si="6">+(H10-M10)+I10</f>
        <v>7000</v>
      </c>
      <c r="R10" s="39">
        <f t="shared" ref="R10:R21" si="7">+K10-M10-N10</f>
        <v>5851.35</v>
      </c>
      <c r="S10" s="39">
        <f t="shared" si="2"/>
        <v>-1148.6499999999996</v>
      </c>
      <c r="T10" s="44">
        <v>0</v>
      </c>
      <c r="U10" s="40">
        <f t="shared" ref="U10:U20" si="8">+R10-T10</f>
        <v>5851.35</v>
      </c>
      <c r="V10" s="45">
        <f t="shared" si="5"/>
        <v>8043.41</v>
      </c>
      <c r="W10" s="39">
        <f t="shared" si="3"/>
        <v>0</v>
      </c>
      <c r="X10" s="50" t="s">
        <v>40</v>
      </c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</row>
    <row r="11" spans="2:40" ht="49.5" customHeight="1" x14ac:dyDescent="0.25">
      <c r="B11" s="33" t="s">
        <v>33</v>
      </c>
      <c r="C11" s="34">
        <v>30071</v>
      </c>
      <c r="D11" s="35" t="s">
        <v>34</v>
      </c>
      <c r="E11" s="36" t="s">
        <v>35</v>
      </c>
      <c r="F11" s="37">
        <v>72100</v>
      </c>
      <c r="G11" s="51" t="s">
        <v>41</v>
      </c>
      <c r="H11" s="39">
        <v>272450.21999999997</v>
      </c>
      <c r="I11" s="39">
        <v>260269.86</v>
      </c>
      <c r="J11" s="40">
        <f>-33775.35-300</f>
        <v>-34075.35</v>
      </c>
      <c r="K11" s="40">
        <f t="shared" si="0"/>
        <v>498644.73</v>
      </c>
      <c r="L11" s="52"/>
      <c r="M11" s="40">
        <v>8292.7199999999993</v>
      </c>
      <c r="N11" s="49">
        <v>436320</v>
      </c>
      <c r="O11" s="40">
        <f t="shared" si="4"/>
        <v>444612.72</v>
      </c>
      <c r="P11" s="43">
        <f t="shared" si="1"/>
        <v>0.89164227204406632</v>
      </c>
      <c r="Q11" s="39">
        <f t="shared" si="6"/>
        <v>524427.36</v>
      </c>
      <c r="R11" s="39">
        <f t="shared" si="7"/>
        <v>54032.010000000009</v>
      </c>
      <c r="S11" s="39">
        <f t="shared" si="2"/>
        <v>-470395.35</v>
      </c>
      <c r="T11" s="44">
        <v>0</v>
      </c>
      <c r="U11" s="40">
        <f t="shared" si="8"/>
        <v>54032.010000000009</v>
      </c>
      <c r="V11" s="45">
        <f t="shared" si="5"/>
        <v>498644.73</v>
      </c>
      <c r="W11" s="39">
        <f t="shared" si="3"/>
        <v>436320</v>
      </c>
      <c r="X11" s="53" t="s">
        <v>42</v>
      </c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</row>
    <row r="12" spans="2:40" ht="31.5" x14ac:dyDescent="0.25">
      <c r="B12" s="33" t="s">
        <v>33</v>
      </c>
      <c r="C12" s="34">
        <v>30071</v>
      </c>
      <c r="D12" s="35" t="s">
        <v>34</v>
      </c>
      <c r="E12" s="36" t="s">
        <v>35</v>
      </c>
      <c r="F12" s="37">
        <v>72400</v>
      </c>
      <c r="G12" s="38" t="s">
        <v>43</v>
      </c>
      <c r="H12" s="39">
        <v>2963</v>
      </c>
      <c r="I12" s="39"/>
      <c r="J12" s="40">
        <v>-766.65</v>
      </c>
      <c r="K12" s="40">
        <f t="shared" si="0"/>
        <v>2196.35</v>
      </c>
      <c r="L12" s="48"/>
      <c r="M12" s="40">
        <v>951.6</v>
      </c>
      <c r="N12" s="42"/>
      <c r="O12" s="40">
        <f t="shared" si="4"/>
        <v>951.6</v>
      </c>
      <c r="P12" s="43">
        <f t="shared" si="1"/>
        <v>0.43326427937259548</v>
      </c>
      <c r="Q12" s="39">
        <f t="shared" si="6"/>
        <v>2011.4</v>
      </c>
      <c r="R12" s="39">
        <f t="shared" si="7"/>
        <v>1244.75</v>
      </c>
      <c r="S12" s="39">
        <f t="shared" si="2"/>
        <v>-766.65000000000009</v>
      </c>
      <c r="T12" s="44"/>
      <c r="U12" s="40">
        <f t="shared" si="8"/>
        <v>1244.75</v>
      </c>
      <c r="V12" s="45">
        <f t="shared" si="5"/>
        <v>2196.35</v>
      </c>
      <c r="W12" s="39">
        <f t="shared" si="3"/>
        <v>0</v>
      </c>
      <c r="X12" s="46" t="s">
        <v>44</v>
      </c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</row>
    <row r="13" spans="2:40" ht="31.5" x14ac:dyDescent="0.25">
      <c r="B13" s="33" t="s">
        <v>33</v>
      </c>
      <c r="C13" s="34">
        <v>30071</v>
      </c>
      <c r="D13" s="35" t="s">
        <v>34</v>
      </c>
      <c r="E13" s="36" t="s">
        <v>35</v>
      </c>
      <c r="F13" s="37">
        <v>72500</v>
      </c>
      <c r="G13" s="38" t="s">
        <v>45</v>
      </c>
      <c r="H13" s="39">
        <v>150</v>
      </c>
      <c r="I13" s="39"/>
      <c r="J13" s="40">
        <v>100</v>
      </c>
      <c r="K13" s="40">
        <f t="shared" si="0"/>
        <v>250</v>
      </c>
      <c r="L13" s="48"/>
      <c r="M13" s="40">
        <v>33.44</v>
      </c>
      <c r="N13" s="42">
        <v>14.67</v>
      </c>
      <c r="O13" s="40">
        <f t="shared" si="4"/>
        <v>48.11</v>
      </c>
      <c r="P13" s="43">
        <f t="shared" si="1"/>
        <v>0.19244</v>
      </c>
      <c r="Q13" s="39">
        <f t="shared" si="6"/>
        <v>116.56</v>
      </c>
      <c r="R13" s="39">
        <f t="shared" si="7"/>
        <v>201.89000000000001</v>
      </c>
      <c r="S13" s="39">
        <f t="shared" si="2"/>
        <v>85.330000000000013</v>
      </c>
      <c r="T13" s="44"/>
      <c r="U13" s="40">
        <f t="shared" si="8"/>
        <v>201.89000000000001</v>
      </c>
      <c r="V13" s="45">
        <f t="shared" si="5"/>
        <v>250</v>
      </c>
      <c r="W13" s="39">
        <f t="shared" si="3"/>
        <v>14.67</v>
      </c>
      <c r="X13" s="46" t="s">
        <v>46</v>
      </c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</row>
    <row r="14" spans="2:40" ht="47.25" x14ac:dyDescent="0.25">
      <c r="B14" s="33"/>
      <c r="C14" s="34">
        <v>30071</v>
      </c>
      <c r="D14" s="35" t="s">
        <v>34</v>
      </c>
      <c r="E14" s="36" t="s">
        <v>35</v>
      </c>
      <c r="F14" s="37">
        <v>72800</v>
      </c>
      <c r="G14" s="38" t="s">
        <v>106</v>
      </c>
      <c r="H14" s="39"/>
      <c r="I14" s="39"/>
      <c r="J14" s="40">
        <v>3500</v>
      </c>
      <c r="K14" s="40">
        <f t="shared" si="0"/>
        <v>3500</v>
      </c>
      <c r="L14" s="171"/>
      <c r="M14" s="40"/>
      <c r="N14" s="172"/>
      <c r="O14" s="40"/>
      <c r="P14" s="43"/>
      <c r="Q14" s="39">
        <f t="shared" si="6"/>
        <v>0</v>
      </c>
      <c r="R14" s="39">
        <f t="shared" si="7"/>
        <v>3500</v>
      </c>
      <c r="S14" s="39"/>
      <c r="T14" s="44"/>
      <c r="U14" s="40">
        <f t="shared" si="8"/>
        <v>3500</v>
      </c>
      <c r="V14" s="45">
        <f t="shared" si="5"/>
        <v>3500</v>
      </c>
      <c r="W14" s="39">
        <v>0</v>
      </c>
      <c r="X14" s="46" t="s">
        <v>75</v>
      </c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</row>
    <row r="15" spans="2:40" ht="31.5" x14ac:dyDescent="0.25">
      <c r="B15" s="33" t="s">
        <v>33</v>
      </c>
      <c r="C15" s="34">
        <v>30071</v>
      </c>
      <c r="D15" s="35" t="s">
        <v>34</v>
      </c>
      <c r="E15" s="36" t="s">
        <v>35</v>
      </c>
      <c r="F15" s="37">
        <v>73300</v>
      </c>
      <c r="G15" s="38" t="s">
        <v>47</v>
      </c>
      <c r="H15" s="39">
        <v>100</v>
      </c>
      <c r="I15" s="39"/>
      <c r="J15" s="40">
        <v>100</v>
      </c>
      <c r="K15" s="40">
        <f t="shared" si="0"/>
        <v>200</v>
      </c>
      <c r="L15" s="48"/>
      <c r="M15" s="40">
        <v>0</v>
      </c>
      <c r="N15" s="42">
        <v>0</v>
      </c>
      <c r="O15" s="40">
        <f t="shared" si="4"/>
        <v>0</v>
      </c>
      <c r="P15" s="43">
        <f t="shared" si="1"/>
        <v>0</v>
      </c>
      <c r="Q15" s="39">
        <f t="shared" si="6"/>
        <v>100</v>
      </c>
      <c r="R15" s="39">
        <f t="shared" si="7"/>
        <v>200</v>
      </c>
      <c r="S15" s="39">
        <f t="shared" si="2"/>
        <v>100</v>
      </c>
      <c r="T15" s="44"/>
      <c r="U15" s="40">
        <f t="shared" si="8"/>
        <v>200</v>
      </c>
      <c r="V15" s="45">
        <f t="shared" si="5"/>
        <v>200</v>
      </c>
      <c r="W15" s="39">
        <f t="shared" ref="W15:W19" si="9">+N15+T15</f>
        <v>0</v>
      </c>
      <c r="X15" s="46" t="s">
        <v>48</v>
      </c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</row>
    <row r="16" spans="2:40" ht="31.5" x14ac:dyDescent="0.25">
      <c r="B16" s="33"/>
      <c r="C16" s="34">
        <v>30071</v>
      </c>
      <c r="D16" s="35" t="s">
        <v>34</v>
      </c>
      <c r="E16" s="36" t="s">
        <v>35</v>
      </c>
      <c r="F16" s="37">
        <v>74200</v>
      </c>
      <c r="G16" s="38" t="s">
        <v>49</v>
      </c>
      <c r="H16" s="39"/>
      <c r="I16" s="39"/>
      <c r="J16" s="40">
        <v>6500</v>
      </c>
      <c r="K16" s="40">
        <f t="shared" si="0"/>
        <v>6500</v>
      </c>
      <c r="L16" s="48"/>
      <c r="M16" s="40">
        <v>0</v>
      </c>
      <c r="N16" s="42"/>
      <c r="O16" s="40"/>
      <c r="P16" s="43"/>
      <c r="Q16" s="39">
        <f t="shared" si="6"/>
        <v>0</v>
      </c>
      <c r="R16" s="39">
        <f t="shared" si="7"/>
        <v>6500</v>
      </c>
      <c r="S16" s="39">
        <f t="shared" si="2"/>
        <v>6500</v>
      </c>
      <c r="T16" s="44"/>
      <c r="U16" s="40">
        <f t="shared" si="8"/>
        <v>6500</v>
      </c>
      <c r="V16" s="45">
        <f t="shared" si="5"/>
        <v>6500</v>
      </c>
      <c r="W16" s="39">
        <f t="shared" si="9"/>
        <v>0</v>
      </c>
      <c r="X16" s="46" t="s">
        <v>50</v>
      </c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</row>
    <row r="17" spans="2:40" ht="31.5" x14ac:dyDescent="0.25">
      <c r="B17" s="33" t="s">
        <v>33</v>
      </c>
      <c r="C17" s="34">
        <v>30071</v>
      </c>
      <c r="D17" s="35" t="s">
        <v>34</v>
      </c>
      <c r="E17" s="36" t="s">
        <v>35</v>
      </c>
      <c r="F17" s="37">
        <v>74500</v>
      </c>
      <c r="G17" s="38" t="s">
        <v>51</v>
      </c>
      <c r="H17" s="39">
        <v>90</v>
      </c>
      <c r="I17" s="54"/>
      <c r="J17" s="55"/>
      <c r="K17" s="40">
        <f t="shared" si="0"/>
        <v>90</v>
      </c>
      <c r="L17" s="48"/>
      <c r="M17" s="40">
        <v>22.97</v>
      </c>
      <c r="N17" s="49">
        <v>51.19</v>
      </c>
      <c r="O17" s="40">
        <f t="shared" si="4"/>
        <v>74.16</v>
      </c>
      <c r="P17" s="43">
        <f t="shared" si="1"/>
        <v>0.82399999999999995</v>
      </c>
      <c r="Q17" s="39">
        <f t="shared" si="6"/>
        <v>67.03</v>
      </c>
      <c r="R17" s="39">
        <f t="shared" si="7"/>
        <v>15.840000000000003</v>
      </c>
      <c r="S17" s="39">
        <f t="shared" si="2"/>
        <v>-51.19</v>
      </c>
      <c r="T17" s="44"/>
      <c r="U17" s="40">
        <f t="shared" si="8"/>
        <v>15.840000000000003</v>
      </c>
      <c r="V17" s="45">
        <f t="shared" si="5"/>
        <v>90</v>
      </c>
      <c r="W17" s="39">
        <f t="shared" si="9"/>
        <v>51.19</v>
      </c>
      <c r="X17" s="50" t="s">
        <v>52</v>
      </c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</row>
    <row r="18" spans="2:40" ht="31.5" x14ac:dyDescent="0.25">
      <c r="B18" s="33"/>
      <c r="C18" s="34">
        <v>30071</v>
      </c>
      <c r="D18" s="35" t="s">
        <v>34</v>
      </c>
      <c r="E18" s="36" t="s">
        <v>35</v>
      </c>
      <c r="F18" s="37">
        <v>74596</v>
      </c>
      <c r="G18" s="38" t="s">
        <v>53</v>
      </c>
      <c r="H18" s="39">
        <v>8271.39</v>
      </c>
      <c r="I18" s="54"/>
      <c r="J18" s="55">
        <v>350</v>
      </c>
      <c r="K18" s="40">
        <f t="shared" si="0"/>
        <v>8621.39</v>
      </c>
      <c r="L18" s="48"/>
      <c r="M18" s="40">
        <v>2184.96</v>
      </c>
      <c r="N18" s="49">
        <v>3290.64</v>
      </c>
      <c r="O18" s="40">
        <f t="shared" si="4"/>
        <v>5475.6</v>
      </c>
      <c r="P18" s="43">
        <f t="shared" si="1"/>
        <v>0.63511800301343524</v>
      </c>
      <c r="Q18" s="39">
        <f t="shared" si="6"/>
        <v>6086.4299999999994</v>
      </c>
      <c r="R18" s="39">
        <f t="shared" si="7"/>
        <v>3145.7899999999995</v>
      </c>
      <c r="S18" s="39">
        <f t="shared" si="2"/>
        <v>-2940.64</v>
      </c>
      <c r="T18" s="44">
        <v>150</v>
      </c>
      <c r="U18" s="40">
        <f t="shared" si="8"/>
        <v>2995.7899999999995</v>
      </c>
      <c r="V18" s="45">
        <f t="shared" si="5"/>
        <v>8621.39</v>
      </c>
      <c r="W18" s="39">
        <f>+N18+T18</f>
        <v>3440.64</v>
      </c>
      <c r="X18" s="50" t="s">
        <v>53</v>
      </c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</row>
    <row r="19" spans="2:40" ht="31.5" x14ac:dyDescent="0.25">
      <c r="B19" s="33" t="s">
        <v>33</v>
      </c>
      <c r="C19" s="34">
        <v>30071</v>
      </c>
      <c r="D19" s="35" t="s">
        <v>34</v>
      </c>
      <c r="E19" s="36" t="s">
        <v>35</v>
      </c>
      <c r="F19" s="37">
        <v>74700</v>
      </c>
      <c r="G19" s="38" t="s">
        <v>54</v>
      </c>
      <c r="H19" s="39">
        <v>615</v>
      </c>
      <c r="I19" s="54"/>
      <c r="J19" s="55">
        <f>1148.65+4173.21+100-3500</f>
        <v>1921.8600000000006</v>
      </c>
      <c r="K19" s="40">
        <f>SUM(H19:J19)</f>
        <v>2536.8600000000006</v>
      </c>
      <c r="L19" s="48"/>
      <c r="M19" s="40">
        <v>288.2</v>
      </c>
      <c r="N19" s="49">
        <v>108.28</v>
      </c>
      <c r="O19" s="40">
        <f t="shared" si="4"/>
        <v>396.48</v>
      </c>
      <c r="P19" s="43">
        <f t="shared" si="1"/>
        <v>0.15628769423618172</v>
      </c>
      <c r="Q19" s="39">
        <f t="shared" si="6"/>
        <v>326.8</v>
      </c>
      <c r="R19" s="39">
        <f t="shared" si="7"/>
        <v>2140.3800000000006</v>
      </c>
      <c r="S19" s="39">
        <f t="shared" si="2"/>
        <v>1813.5800000000006</v>
      </c>
      <c r="T19" s="44"/>
      <c r="U19" s="40">
        <f t="shared" si="8"/>
        <v>2140.3800000000006</v>
      </c>
      <c r="V19" s="45">
        <f t="shared" si="5"/>
        <v>2536.8600000000006</v>
      </c>
      <c r="W19" s="39">
        <f t="shared" si="9"/>
        <v>108.28</v>
      </c>
      <c r="X19" s="50" t="s">
        <v>55</v>
      </c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</row>
    <row r="20" spans="2:40" ht="31.5" x14ac:dyDescent="0.25">
      <c r="B20" s="33" t="s">
        <v>33</v>
      </c>
      <c r="C20" s="34">
        <v>30071</v>
      </c>
      <c r="D20" s="35" t="s">
        <v>34</v>
      </c>
      <c r="E20" s="36" t="s">
        <v>35</v>
      </c>
      <c r="F20" s="37">
        <v>75100</v>
      </c>
      <c r="G20" s="38" t="s">
        <v>56</v>
      </c>
      <c r="H20" s="39">
        <v>20529.990000000002</v>
      </c>
      <c r="I20" s="39">
        <v>13883.49</v>
      </c>
      <c r="J20" s="40">
        <v>416.65</v>
      </c>
      <c r="K20" s="40">
        <f t="shared" si="0"/>
        <v>34830.130000000005</v>
      </c>
      <c r="L20" s="48"/>
      <c r="M20" s="40">
        <v>3468.25</v>
      </c>
      <c r="N20" s="49">
        <v>25285.37</v>
      </c>
      <c r="O20" s="40">
        <f t="shared" si="4"/>
        <v>28753.62</v>
      </c>
      <c r="P20" s="43">
        <f t="shared" si="1"/>
        <v>0.8255386930798132</v>
      </c>
      <c r="Q20" s="39">
        <f t="shared" si="6"/>
        <v>30945.230000000003</v>
      </c>
      <c r="R20" s="39">
        <f t="shared" si="7"/>
        <v>6076.5100000000057</v>
      </c>
      <c r="S20" s="39">
        <f t="shared" si="2"/>
        <v>-24868.719999999998</v>
      </c>
      <c r="T20" s="44">
        <v>286.94</v>
      </c>
      <c r="U20" s="40">
        <f t="shared" si="8"/>
        <v>5789.5700000000061</v>
      </c>
      <c r="V20" s="45">
        <f t="shared" si="5"/>
        <v>34830.130000000005</v>
      </c>
      <c r="W20" s="39">
        <f>+N20+T20</f>
        <v>25572.309999999998</v>
      </c>
      <c r="X20" s="50" t="s">
        <v>57</v>
      </c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</row>
    <row r="21" spans="2:40" ht="31.5" x14ac:dyDescent="0.25">
      <c r="B21" s="33" t="s">
        <v>33</v>
      </c>
      <c r="C21" s="34">
        <v>30071</v>
      </c>
      <c r="D21" s="35" t="s">
        <v>34</v>
      </c>
      <c r="E21" s="36" t="s">
        <v>35</v>
      </c>
      <c r="F21" s="37">
        <v>75700</v>
      </c>
      <c r="G21" s="38" t="s">
        <v>58</v>
      </c>
      <c r="H21" s="54">
        <v>17043.310000000001</v>
      </c>
      <c r="I21" s="54">
        <v>0</v>
      </c>
      <c r="J21" s="55">
        <f>350+(-6500-4173.21-350)</f>
        <v>-10673.21</v>
      </c>
      <c r="K21" s="40">
        <f t="shared" si="0"/>
        <v>6370.1000000000022</v>
      </c>
      <c r="L21" s="48"/>
      <c r="M21" s="40">
        <v>0</v>
      </c>
      <c r="N21" s="49">
        <v>688.55</v>
      </c>
      <c r="O21" s="40">
        <f t="shared" si="4"/>
        <v>688.55</v>
      </c>
      <c r="P21" s="43">
        <f t="shared" si="1"/>
        <v>0.10809092478924973</v>
      </c>
      <c r="Q21" s="39">
        <f t="shared" si="6"/>
        <v>17043.310000000001</v>
      </c>
      <c r="R21" s="39">
        <f t="shared" si="7"/>
        <v>5681.550000000002</v>
      </c>
      <c r="S21" s="39">
        <f t="shared" si="2"/>
        <v>-11361.759999999998</v>
      </c>
      <c r="T21" s="44"/>
      <c r="U21" s="40">
        <f>+R21-T21</f>
        <v>5681.550000000002</v>
      </c>
      <c r="V21" s="45">
        <f t="shared" si="5"/>
        <v>6370.1000000000022</v>
      </c>
      <c r="W21" s="39">
        <f>+N21+T21</f>
        <v>688.55</v>
      </c>
      <c r="X21" s="50" t="s">
        <v>59</v>
      </c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</row>
    <row r="22" spans="2:40" ht="32.25" thickBot="1" x14ac:dyDescent="0.3">
      <c r="B22" s="56" t="s">
        <v>60</v>
      </c>
      <c r="C22" s="57"/>
      <c r="D22" s="58" t="s">
        <v>61</v>
      </c>
      <c r="E22" s="58"/>
      <c r="F22" s="58"/>
      <c r="G22" s="59" t="s">
        <v>62</v>
      </c>
      <c r="H22" s="60">
        <f>SUM(H8:H21)</f>
        <v>439879.41</v>
      </c>
      <c r="I22" s="61">
        <f>SUM(I8:I21)</f>
        <v>291553.34999999998</v>
      </c>
      <c r="J22" s="61">
        <f>SUM(J8:J21)</f>
        <v>0</v>
      </c>
      <c r="K22" s="61">
        <f>SUM(K8:K21)</f>
        <v>731432.75999999989</v>
      </c>
      <c r="L22" s="48"/>
      <c r="M22" s="62">
        <f>SUM(M8:M21)</f>
        <v>72832.55</v>
      </c>
      <c r="N22" s="62">
        <f>SUM(N8:N21)</f>
        <v>530992.7300000001</v>
      </c>
      <c r="O22" s="62">
        <f>SUM(O8:O21)</f>
        <v>603825.27999999991</v>
      </c>
      <c r="P22" s="63">
        <f t="shared" si="1"/>
        <v>0.82553764750706549</v>
      </c>
      <c r="Q22" s="62">
        <f>SUM(Q8:Q21)</f>
        <v>658600.2100000002</v>
      </c>
      <c r="R22" s="62">
        <f>SUM(R8:R21)</f>
        <v>127607.48000000003</v>
      </c>
      <c r="S22" s="62">
        <f>SUM(S8:S21)</f>
        <v>-534492.73</v>
      </c>
      <c r="T22" s="62">
        <f>SUM(T9:T21)</f>
        <v>6025.7199999999993</v>
      </c>
      <c r="U22" s="62">
        <f>SUM(U9:U21)</f>
        <v>121581.76000000002</v>
      </c>
      <c r="V22" s="62">
        <f>SUM(V8:V21)</f>
        <v>731432.75999999989</v>
      </c>
      <c r="W22" s="62">
        <f>SUM(W8:W21)</f>
        <v>537018.45000000007</v>
      </c>
      <c r="X22" s="64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</row>
    <row r="23" spans="2:40" ht="32.25" thickTop="1" x14ac:dyDescent="0.25">
      <c r="B23" s="65" t="s">
        <v>63</v>
      </c>
      <c r="C23" s="66">
        <v>30071</v>
      </c>
      <c r="D23" s="66" t="s">
        <v>34</v>
      </c>
      <c r="E23" s="67" t="s">
        <v>35</v>
      </c>
      <c r="F23" s="68">
        <v>71300</v>
      </c>
      <c r="G23" s="69" t="s">
        <v>36</v>
      </c>
      <c r="H23" s="70">
        <f>15470+35000-2470</f>
        <v>48000</v>
      </c>
      <c r="I23" s="71"/>
      <c r="J23" s="72"/>
      <c r="K23" s="73">
        <f t="shared" ref="K23:K28" si="10">SUM(H23:J23)</f>
        <v>48000</v>
      </c>
      <c r="L23" s="48"/>
      <c r="M23" s="40"/>
      <c r="N23" s="40">
        <v>32270</v>
      </c>
      <c r="O23" s="40">
        <f>SUM(M23:N23)</f>
        <v>32270</v>
      </c>
      <c r="P23" s="43">
        <f t="shared" si="1"/>
        <v>0.67229166666666662</v>
      </c>
      <c r="Q23" s="39">
        <f>+(H23-M23)+I23</f>
        <v>48000</v>
      </c>
      <c r="R23" s="39">
        <f t="shared" ref="R23:R28" si="11">+K23-M23-N23</f>
        <v>15730</v>
      </c>
      <c r="S23" s="39">
        <f>+R23-Q23</f>
        <v>-32270</v>
      </c>
      <c r="T23" s="40"/>
      <c r="U23" s="40">
        <f>+R23-T23</f>
        <v>15730</v>
      </c>
      <c r="V23" s="45">
        <f>O23+R23</f>
        <v>48000</v>
      </c>
      <c r="W23" s="39">
        <f>+N23+T23</f>
        <v>32270</v>
      </c>
      <c r="X23" s="50" t="s">
        <v>64</v>
      </c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</row>
    <row r="24" spans="2:40" ht="31.5" x14ac:dyDescent="0.25">
      <c r="B24" s="65" t="s">
        <v>63</v>
      </c>
      <c r="C24" s="66">
        <v>30071</v>
      </c>
      <c r="D24" s="66" t="s">
        <v>34</v>
      </c>
      <c r="E24" s="67" t="s">
        <v>35</v>
      </c>
      <c r="F24" s="68">
        <v>71400</v>
      </c>
      <c r="G24" s="69" t="s">
        <v>37</v>
      </c>
      <c r="H24" s="74">
        <v>5665</v>
      </c>
      <c r="I24" s="71"/>
      <c r="J24" s="72">
        <v>-5665</v>
      </c>
      <c r="K24" s="73">
        <f t="shared" si="10"/>
        <v>0</v>
      </c>
      <c r="L24" s="48"/>
      <c r="M24" s="40"/>
      <c r="N24" s="40"/>
      <c r="O24" s="40">
        <f t="shared" ref="O24:O28" si="12">SUM(M24:N24)</f>
        <v>0</v>
      </c>
      <c r="P24" s="43"/>
      <c r="Q24" s="39">
        <f>+(H24-M24)+I24</f>
        <v>5665</v>
      </c>
      <c r="R24" s="39">
        <f t="shared" si="11"/>
        <v>0</v>
      </c>
      <c r="S24" s="39">
        <f t="shared" ref="S24:S26" si="13">+R24-Q24</f>
        <v>-5665</v>
      </c>
      <c r="T24" s="40"/>
      <c r="U24" s="40">
        <f t="shared" ref="U24:U28" si="14">+R24-T24</f>
        <v>0</v>
      </c>
      <c r="V24" s="45">
        <f t="shared" ref="V24:V28" si="15">O24+R24</f>
        <v>0</v>
      </c>
      <c r="W24" s="39">
        <f t="shared" ref="W24:W28" si="16">+N24+T24</f>
        <v>0</v>
      </c>
      <c r="X24" s="50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</row>
    <row r="25" spans="2:40" ht="31.5" x14ac:dyDescent="0.25">
      <c r="B25" s="65"/>
      <c r="C25" s="66">
        <v>30071</v>
      </c>
      <c r="D25" s="66" t="s">
        <v>34</v>
      </c>
      <c r="E25" s="67" t="s">
        <v>35</v>
      </c>
      <c r="F25" s="68">
        <v>71500</v>
      </c>
      <c r="G25" s="69" t="s">
        <v>65</v>
      </c>
      <c r="H25" s="74"/>
      <c r="I25" s="71"/>
      <c r="J25" s="72">
        <v>5665</v>
      </c>
      <c r="K25" s="73">
        <f t="shared" si="10"/>
        <v>5665</v>
      </c>
      <c r="L25" s="48"/>
      <c r="M25" s="40"/>
      <c r="N25" s="40"/>
      <c r="O25" s="40"/>
      <c r="P25" s="43"/>
      <c r="Q25" s="39"/>
      <c r="R25" s="39">
        <f t="shared" si="11"/>
        <v>5665</v>
      </c>
      <c r="S25" s="39">
        <f t="shared" si="13"/>
        <v>5665</v>
      </c>
      <c r="T25" s="40"/>
      <c r="U25" s="40">
        <f t="shared" si="14"/>
        <v>5665</v>
      </c>
      <c r="V25" s="45">
        <f t="shared" si="15"/>
        <v>5665</v>
      </c>
      <c r="W25" s="39">
        <f t="shared" si="16"/>
        <v>0</v>
      </c>
      <c r="X25" s="50" t="s">
        <v>66</v>
      </c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</row>
    <row r="26" spans="2:40" ht="31.5" x14ac:dyDescent="0.25">
      <c r="B26" s="65" t="s">
        <v>63</v>
      </c>
      <c r="C26" s="66">
        <v>30071</v>
      </c>
      <c r="D26" s="66" t="s">
        <v>34</v>
      </c>
      <c r="E26" s="67" t="s">
        <v>35</v>
      </c>
      <c r="F26" s="68">
        <v>74500</v>
      </c>
      <c r="G26" s="69" t="s">
        <v>41</v>
      </c>
      <c r="H26" s="74">
        <f>(+H23+H24+H28)*0.02</f>
        <v>1122.7</v>
      </c>
      <c r="I26" s="71"/>
      <c r="J26" s="72"/>
      <c r="K26" s="73">
        <f t="shared" si="10"/>
        <v>1122.7</v>
      </c>
      <c r="L26" s="48"/>
      <c r="M26" s="40"/>
      <c r="N26" s="40">
        <v>1071.3800000000001</v>
      </c>
      <c r="O26" s="40">
        <f t="shared" si="12"/>
        <v>1071.3800000000001</v>
      </c>
      <c r="P26" s="43"/>
      <c r="Q26" s="39">
        <f>+(H26-M26)+I26</f>
        <v>1122.7</v>
      </c>
      <c r="R26" s="39">
        <f t="shared" si="11"/>
        <v>51.319999999999936</v>
      </c>
      <c r="S26" s="39">
        <f t="shared" si="13"/>
        <v>-1071.3800000000001</v>
      </c>
      <c r="T26" s="40"/>
      <c r="U26" s="40">
        <f t="shared" si="14"/>
        <v>51.319999999999936</v>
      </c>
      <c r="V26" s="45">
        <f t="shared" si="15"/>
        <v>1122.7</v>
      </c>
      <c r="W26" s="39">
        <f t="shared" si="16"/>
        <v>1071.3800000000001</v>
      </c>
      <c r="X26" s="50" t="s">
        <v>53</v>
      </c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</row>
    <row r="27" spans="2:40" ht="31.5" x14ac:dyDescent="0.25">
      <c r="B27" s="65" t="s">
        <v>63</v>
      </c>
      <c r="C27" s="66">
        <v>30071</v>
      </c>
      <c r="D27" s="66" t="s">
        <v>34</v>
      </c>
      <c r="E27" s="67" t="s">
        <v>35</v>
      </c>
      <c r="F27" s="68">
        <v>75100</v>
      </c>
      <c r="G27" s="69" t="s">
        <v>67</v>
      </c>
      <c r="H27" s="70">
        <f>+(H23+H24+H26+H28)*0.05</f>
        <v>2862.8850000000002</v>
      </c>
      <c r="I27" s="71"/>
      <c r="J27" s="72"/>
      <c r="K27" s="73">
        <f t="shared" si="10"/>
        <v>2862.8850000000002</v>
      </c>
      <c r="L27" s="75"/>
      <c r="M27" s="40"/>
      <c r="N27" s="40">
        <v>1667.1</v>
      </c>
      <c r="O27" s="40">
        <f t="shared" si="12"/>
        <v>1667.1</v>
      </c>
      <c r="P27" s="43"/>
      <c r="Q27" s="39">
        <f>+(H27-M27)+I27</f>
        <v>2862.8850000000002</v>
      </c>
      <c r="R27" s="39">
        <f t="shared" si="11"/>
        <v>1195.7850000000003</v>
      </c>
      <c r="S27" s="39">
        <f>+R27-Q27</f>
        <v>-1667.1</v>
      </c>
      <c r="T27" s="40"/>
      <c r="U27" s="40">
        <f t="shared" si="14"/>
        <v>1195.7850000000003</v>
      </c>
      <c r="V27" s="45">
        <f t="shared" si="15"/>
        <v>2862.8850000000002</v>
      </c>
      <c r="W27" s="39">
        <f t="shared" si="16"/>
        <v>1667.1</v>
      </c>
      <c r="X27" s="50" t="s">
        <v>57</v>
      </c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</row>
    <row r="28" spans="2:40" ht="31.5" x14ac:dyDescent="0.25">
      <c r="B28" s="65" t="s">
        <v>63</v>
      </c>
      <c r="C28" s="66">
        <v>30071</v>
      </c>
      <c r="D28" s="66" t="s">
        <v>34</v>
      </c>
      <c r="E28" s="67" t="s">
        <v>35</v>
      </c>
      <c r="F28" s="68">
        <v>75700</v>
      </c>
      <c r="G28" s="69" t="s">
        <v>51</v>
      </c>
      <c r="H28" s="76">
        <v>2470</v>
      </c>
      <c r="I28" s="71"/>
      <c r="J28" s="72"/>
      <c r="K28" s="73">
        <f t="shared" si="10"/>
        <v>2470</v>
      </c>
      <c r="L28" s="48"/>
      <c r="M28" s="40"/>
      <c r="N28" s="40"/>
      <c r="O28" s="40">
        <f t="shared" si="12"/>
        <v>0</v>
      </c>
      <c r="P28" s="43">
        <f>IF(K28=0,0,O28/K28)</f>
        <v>0</v>
      </c>
      <c r="Q28" s="39">
        <f>+(H28-M28)+I28</f>
        <v>2470</v>
      </c>
      <c r="R28" s="39">
        <f t="shared" si="11"/>
        <v>2470</v>
      </c>
      <c r="S28" s="39">
        <f>+R28-Q28</f>
        <v>0</v>
      </c>
      <c r="T28" s="40"/>
      <c r="U28" s="40">
        <f t="shared" si="14"/>
        <v>2470</v>
      </c>
      <c r="V28" s="45">
        <f t="shared" si="15"/>
        <v>2470</v>
      </c>
      <c r="W28" s="39">
        <f t="shared" si="16"/>
        <v>0</v>
      </c>
      <c r="X28" s="50" t="s">
        <v>68</v>
      </c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</row>
    <row r="29" spans="2:40" ht="32.25" thickBot="1" x14ac:dyDescent="0.3">
      <c r="B29" s="77" t="s">
        <v>69</v>
      </c>
      <c r="C29" s="78"/>
      <c r="D29" s="79" t="s">
        <v>70</v>
      </c>
      <c r="E29" s="80"/>
      <c r="F29" s="81" t="s">
        <v>71</v>
      </c>
      <c r="G29" s="82" t="s">
        <v>72</v>
      </c>
      <c r="H29" s="83">
        <f>SUM(H23:H28)</f>
        <v>60120.584999999999</v>
      </c>
      <c r="I29" s="83">
        <f>SUM(I23:I28)</f>
        <v>0</v>
      </c>
      <c r="J29" s="83">
        <f>SUM(J23:J28)</f>
        <v>0</v>
      </c>
      <c r="K29" s="83">
        <f>SUM(K23:K28)</f>
        <v>60120.584999999999</v>
      </c>
      <c r="L29" s="48"/>
      <c r="M29" s="84">
        <f>SUM(M23:M28)</f>
        <v>0</v>
      </c>
      <c r="N29" s="84">
        <f>SUM(N23:N28)</f>
        <v>35008.479999999996</v>
      </c>
      <c r="O29" s="84">
        <f>SUM(O23:O28)</f>
        <v>35008.479999999996</v>
      </c>
      <c r="P29" s="84">
        <f>IF(K29=0,0,O29/K29)</f>
        <v>0.58230438043808119</v>
      </c>
      <c r="Q29" s="84">
        <f t="shared" ref="Q29:W29" si="17">SUM(Q23:Q28)</f>
        <v>60120.584999999999</v>
      </c>
      <c r="R29" s="84">
        <f t="shared" si="17"/>
        <v>25112.105</v>
      </c>
      <c r="S29" s="84">
        <f t="shared" si="17"/>
        <v>-35008.479999999996</v>
      </c>
      <c r="T29" s="84">
        <f t="shared" si="17"/>
        <v>0</v>
      </c>
      <c r="U29" s="84">
        <f t="shared" si="17"/>
        <v>25112.105</v>
      </c>
      <c r="V29" s="84">
        <f>SUM(V23:V28)</f>
        <v>60120.584999999999</v>
      </c>
      <c r="W29" s="84">
        <f t="shared" si="17"/>
        <v>35008.479999999996</v>
      </c>
      <c r="X29" s="85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</row>
    <row r="30" spans="2:40" s="5" customFormat="1" ht="17.25" thickTop="1" thickBot="1" x14ac:dyDescent="0.3">
      <c r="C30" s="8"/>
      <c r="H30" s="86"/>
      <c r="I30" s="86"/>
      <c r="J30" s="86"/>
      <c r="K30" s="86"/>
      <c r="L30" s="87"/>
      <c r="M30" s="86"/>
      <c r="N30" s="86"/>
      <c r="O30" s="86"/>
      <c r="P30" s="88"/>
      <c r="Q30" s="89"/>
      <c r="R30" s="89"/>
      <c r="S30" s="4"/>
      <c r="T30" s="86"/>
      <c r="U30" s="86"/>
      <c r="V30" s="90"/>
      <c r="W30" s="4"/>
      <c r="X30" s="91"/>
    </row>
    <row r="31" spans="2:40" s="5" customFormat="1" ht="17.25" thickTop="1" thickBot="1" x14ac:dyDescent="0.3">
      <c r="C31" s="8"/>
      <c r="D31" s="92" t="s">
        <v>73</v>
      </c>
      <c r="G31" s="93" t="s">
        <v>74</v>
      </c>
      <c r="H31" s="94">
        <f>+H29+H22</f>
        <v>499999.995</v>
      </c>
      <c r="I31" s="94">
        <f t="shared" ref="I31:K31" si="18">+I29+I22</f>
        <v>291553.34999999998</v>
      </c>
      <c r="J31" s="94">
        <f t="shared" si="18"/>
        <v>0</v>
      </c>
      <c r="K31" s="94">
        <f t="shared" si="18"/>
        <v>791553.34499999986</v>
      </c>
      <c r="L31" s="87"/>
      <c r="M31" s="94">
        <f>+M29+M22</f>
        <v>72832.55</v>
      </c>
      <c r="N31" s="94">
        <f>+N29+N22</f>
        <v>566001.21000000008</v>
      </c>
      <c r="O31" s="94">
        <f t="shared" ref="O31:U31" si="19">+O29+O22</f>
        <v>638833.75999999989</v>
      </c>
      <c r="P31" s="94">
        <f t="shared" si="19"/>
        <v>1.4078420279451467</v>
      </c>
      <c r="Q31" s="94">
        <f t="shared" si="19"/>
        <v>718720.79500000016</v>
      </c>
      <c r="R31" s="94">
        <f t="shared" si="19"/>
        <v>152719.58500000002</v>
      </c>
      <c r="S31" s="94">
        <f t="shared" si="19"/>
        <v>-569501.21</v>
      </c>
      <c r="T31" s="94">
        <f t="shared" si="19"/>
        <v>6025.7199999999993</v>
      </c>
      <c r="U31" s="94">
        <f t="shared" si="19"/>
        <v>146693.86500000002</v>
      </c>
      <c r="V31" s="94">
        <f>+V29+V22</f>
        <v>791553.34499999986</v>
      </c>
      <c r="W31" s="94">
        <f>+W29+W22</f>
        <v>572026.93000000005</v>
      </c>
      <c r="X31" s="95"/>
    </row>
    <row r="32" spans="2:40" s="5" customFormat="1" ht="16.5" thickTop="1" x14ac:dyDescent="0.25">
      <c r="C32" s="8"/>
      <c r="L32" s="87"/>
      <c r="Q32" s="4"/>
      <c r="R32" s="4"/>
      <c r="S32" s="4"/>
      <c r="V32" s="96"/>
      <c r="W32" s="4"/>
      <c r="X32" s="8"/>
    </row>
    <row r="33" spans="2:24" s="5" customFormat="1" x14ac:dyDescent="0.25">
      <c r="C33" s="8"/>
      <c r="G33" s="97"/>
      <c r="H33" s="98">
        <f>+H12+H13+H15+H17+H19+300</f>
        <v>4218</v>
      </c>
      <c r="K33" s="98">
        <f>+K12+K13+K15+K17</f>
        <v>2736.35</v>
      </c>
      <c r="L33" s="87"/>
      <c r="N33" s="98"/>
      <c r="O33" s="98"/>
      <c r="Q33" s="4"/>
      <c r="R33" s="4">
        <f>+R31+O31</f>
        <v>791553.34499999997</v>
      </c>
      <c r="S33" s="4"/>
      <c r="T33" s="96">
        <f>+N31+T31</f>
        <v>572026.93000000005</v>
      </c>
      <c r="U33" s="96">
        <f>+T33+U31+M31</f>
        <v>791553.34500000009</v>
      </c>
      <c r="V33" s="98"/>
      <c r="W33" s="4">
        <f>+W31+U31</f>
        <v>718720.79500000004</v>
      </c>
      <c r="X33" s="8"/>
    </row>
    <row r="34" spans="2:24" s="5" customFormat="1" x14ac:dyDescent="0.25">
      <c r="B34" s="92"/>
      <c r="C34" s="8"/>
      <c r="J34" s="98"/>
      <c r="K34" s="4">
        <v>615</v>
      </c>
      <c r="L34" s="87"/>
      <c r="N34" s="98"/>
      <c r="O34" s="98"/>
      <c r="P34" s="98"/>
      <c r="Q34" s="4"/>
      <c r="R34" s="4">
        <f>+N31+R31</f>
        <v>718720.79500000016</v>
      </c>
      <c r="S34" s="4"/>
      <c r="V34" s="98"/>
      <c r="W34" s="4">
        <f>+Q31-W33</f>
        <v>0</v>
      </c>
      <c r="X34" s="8"/>
    </row>
    <row r="35" spans="2:24" x14ac:dyDescent="0.25">
      <c r="B35" s="99"/>
      <c r="J35" s="101"/>
      <c r="K35" s="102">
        <f>+K33+K34</f>
        <v>3351.35</v>
      </c>
      <c r="N35" s="103"/>
      <c r="O35" s="103"/>
      <c r="V35" s="103"/>
    </row>
    <row r="36" spans="2:24" x14ac:dyDescent="0.25">
      <c r="B36" s="100"/>
      <c r="C36" s="174"/>
      <c r="D36" s="174"/>
      <c r="E36" s="174"/>
      <c r="F36" s="174"/>
      <c r="G36" s="174"/>
      <c r="H36" s="103"/>
      <c r="J36" s="101"/>
      <c r="K36" s="102">
        <v>766.65</v>
      </c>
      <c r="M36" s="102"/>
      <c r="N36" s="102"/>
      <c r="V36" s="103"/>
    </row>
    <row r="37" spans="2:24" x14ac:dyDescent="0.25">
      <c r="B37" s="100"/>
      <c r="C37" s="174"/>
      <c r="D37" s="174"/>
      <c r="E37" s="174"/>
      <c r="F37" s="174"/>
      <c r="G37" s="174"/>
      <c r="J37" s="101"/>
      <c r="K37" s="103">
        <f>+K35+K36</f>
        <v>4118</v>
      </c>
      <c r="M37" s="103"/>
      <c r="N37" s="103"/>
      <c r="V37" s="103"/>
    </row>
    <row r="38" spans="2:24" x14ac:dyDescent="0.25">
      <c r="B38" s="100"/>
      <c r="C38" s="174"/>
      <c r="D38" s="174"/>
      <c r="E38" s="174"/>
      <c r="F38" s="174"/>
      <c r="G38" s="174"/>
      <c r="J38" s="101"/>
      <c r="K38" s="102"/>
      <c r="V38" s="103"/>
    </row>
    <row r="39" spans="2:24" x14ac:dyDescent="0.25">
      <c r="B39" s="100"/>
      <c r="C39" s="174"/>
      <c r="D39" s="174"/>
      <c r="E39" s="174"/>
      <c r="F39" s="174"/>
      <c r="G39" s="174"/>
      <c r="J39" s="103"/>
      <c r="K39" s="104"/>
    </row>
    <row r="40" spans="2:24" x14ac:dyDescent="0.25">
      <c r="B40" s="100"/>
      <c r="C40" s="174"/>
      <c r="D40" s="174"/>
      <c r="E40" s="174"/>
      <c r="F40" s="174"/>
      <c r="G40" s="174"/>
    </row>
    <row r="41" spans="2:24" x14ac:dyDescent="0.25">
      <c r="B41" s="100"/>
      <c r="C41" s="174"/>
      <c r="D41" s="174"/>
      <c r="E41" s="174"/>
      <c r="F41" s="174"/>
      <c r="G41" s="174"/>
    </row>
    <row r="42" spans="2:24" x14ac:dyDescent="0.25">
      <c r="B42" s="99"/>
      <c r="C42" s="174"/>
      <c r="D42" s="174"/>
      <c r="E42" s="174"/>
      <c r="F42" s="174"/>
      <c r="G42" s="174"/>
      <c r="M42" s="103"/>
      <c r="N42" s="103"/>
    </row>
    <row r="43" spans="2:24" x14ac:dyDescent="0.25">
      <c r="C43" s="174"/>
      <c r="D43" s="174"/>
      <c r="E43" s="174"/>
      <c r="F43" s="174"/>
      <c r="G43" s="174"/>
      <c r="M43" s="103"/>
      <c r="N43" s="103"/>
    </row>
    <row r="44" spans="2:24" x14ac:dyDescent="0.25">
      <c r="C44" s="174"/>
      <c r="D44" s="174"/>
      <c r="E44" s="174"/>
      <c r="F44" s="174"/>
      <c r="G44" s="174"/>
    </row>
    <row r="45" spans="2:24" x14ac:dyDescent="0.25">
      <c r="C45" s="174"/>
      <c r="D45" s="174"/>
      <c r="E45" s="174"/>
      <c r="F45" s="174"/>
      <c r="G45" s="174"/>
    </row>
    <row r="46" spans="2:24" x14ac:dyDescent="0.25">
      <c r="C46" s="174"/>
      <c r="D46" s="174"/>
      <c r="E46" s="174"/>
      <c r="F46" s="174"/>
      <c r="G46" s="174"/>
    </row>
    <row r="47" spans="2:24" x14ac:dyDescent="0.25">
      <c r="C47" s="174"/>
      <c r="D47" s="174"/>
      <c r="E47" s="174"/>
      <c r="F47" s="174"/>
      <c r="G47" s="174"/>
    </row>
    <row r="48" spans="2:24" x14ac:dyDescent="0.25">
      <c r="C48" s="174"/>
      <c r="D48" s="174"/>
      <c r="E48" s="174"/>
      <c r="F48" s="174"/>
      <c r="G48" s="174"/>
    </row>
    <row r="49" spans="3:7" x14ac:dyDescent="0.25">
      <c r="C49" s="174"/>
      <c r="D49" s="174"/>
      <c r="E49" s="174"/>
      <c r="F49" s="174"/>
      <c r="G49" s="174"/>
    </row>
    <row r="50" spans="3:7" x14ac:dyDescent="0.25">
      <c r="C50" s="174"/>
      <c r="D50" s="174"/>
      <c r="E50" s="174"/>
      <c r="F50" s="174"/>
      <c r="G50" s="174"/>
    </row>
    <row r="51" spans="3:7" x14ac:dyDescent="0.25">
      <c r="C51" s="174"/>
      <c r="D51" s="174"/>
      <c r="E51" s="174"/>
      <c r="F51" s="174"/>
      <c r="G51" s="174"/>
    </row>
    <row r="52" spans="3:7" x14ac:dyDescent="0.25">
      <c r="C52" s="174"/>
      <c r="D52" s="174"/>
      <c r="E52" s="174"/>
      <c r="F52" s="174"/>
      <c r="G52" s="174"/>
    </row>
  </sheetData>
  <protectedRanges>
    <protectedRange algorithmName="SHA-512" hashValue="uwWbYys/eg+MzKSxU0Jk/7sZwQodOd8u03Ik+zCEq0neHb2AFr5+ksJTU3r/TRlMtJofi7EhLizfLFsXYICVJA==" saltValue="87ymcmsmnLSRtbMya5hA8Q==" spinCount="100000" sqref="Y1:XFD1048576 B32:U1048576 W32:XFD32 V33:XFD1048576" name="Rango1"/>
  </protectedRanges>
  <autoFilter ref="B7:AN7" xr:uid="{12357771-3F65-465E-83A8-7B598B1FC340}"/>
  <mergeCells count="22">
    <mergeCell ref="C42:G42"/>
    <mergeCell ref="C1:K1"/>
    <mergeCell ref="C2:K2"/>
    <mergeCell ref="C3:K3"/>
    <mergeCell ref="C4:K4"/>
    <mergeCell ref="C5:K5"/>
    <mergeCell ref="C36:G36"/>
    <mergeCell ref="C37:G37"/>
    <mergeCell ref="C38:G38"/>
    <mergeCell ref="C39:G39"/>
    <mergeCell ref="C40:G40"/>
    <mergeCell ref="C41:G41"/>
    <mergeCell ref="C49:G49"/>
    <mergeCell ref="C50:G50"/>
    <mergeCell ref="C51:G51"/>
    <mergeCell ref="C52:G52"/>
    <mergeCell ref="C43:G43"/>
    <mergeCell ref="C44:G44"/>
    <mergeCell ref="C45:G45"/>
    <mergeCell ref="C46:G46"/>
    <mergeCell ref="C47:G47"/>
    <mergeCell ref="C48:G48"/>
  </mergeCells>
  <pageMargins left="0.7" right="0.7" top="0.75" bottom="0.75" header="0.3" footer="0.3"/>
  <pageSetup scale="27" fitToHeight="0" orientation="landscape" horizontalDpi="360" verticalDpi="36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2B0DE-07B5-4A90-862F-2C426BF37FFA}">
  <sheetPr codeName="Hoja3">
    <pageSetUpPr fitToPage="1"/>
  </sheetPr>
  <dimension ref="B1:AL46"/>
  <sheetViews>
    <sheetView tabSelected="1" topLeftCell="K1" zoomScale="90" zoomScaleNormal="90" workbookViewId="0">
      <pane ySplit="7" topLeftCell="A8" activePane="bottomLeft" state="frozen"/>
      <selection activeCell="F7" sqref="F7"/>
      <selection pane="bottomLeft" activeCell="S8" sqref="S8"/>
    </sheetView>
  </sheetViews>
  <sheetFormatPr baseColWidth="10" defaultColWidth="11.42578125" defaultRowHeight="15.75" x14ac:dyDescent="0.25"/>
  <cols>
    <col min="1" max="1" width="8.85546875" style="7" customWidth="1"/>
    <col min="2" max="2" width="22.28515625" style="7" hidden="1" customWidth="1"/>
    <col min="3" max="3" width="9.42578125" style="100" hidden="1" customWidth="1"/>
    <col min="4" max="4" width="20.28515625" style="7" hidden="1" customWidth="1"/>
    <col min="5" max="5" width="16" style="7" hidden="1" customWidth="1"/>
    <col min="6" max="6" width="15.28515625" style="7" customWidth="1"/>
    <col min="7" max="7" width="27.85546875" style="7" hidden="1" customWidth="1"/>
    <col min="8" max="8" width="18.140625" style="7" customWidth="1"/>
    <col min="9" max="9" width="17.140625" style="7" customWidth="1"/>
    <col min="10" max="10" width="13.5703125" style="7" customWidth="1"/>
    <col min="11" max="11" width="14.85546875" style="7" customWidth="1"/>
    <col min="12" max="12" width="6" style="2" customWidth="1"/>
    <col min="13" max="13" width="18.140625" style="7" bestFit="1" customWidth="1"/>
    <col min="14" max="14" width="18.42578125" style="7" bestFit="1" customWidth="1"/>
    <col min="15" max="15" width="19.5703125" style="7" customWidth="1"/>
    <col min="16" max="16" width="17.42578125" style="7" customWidth="1"/>
    <col min="17" max="17" width="18.7109375" style="102" bestFit="1" customWidth="1"/>
    <col min="18" max="18" width="20.28515625" style="102" bestFit="1" customWidth="1"/>
    <col min="19" max="19" width="20.28515625" style="102" customWidth="1"/>
    <col min="20" max="20" width="20" style="7" bestFit="1" customWidth="1"/>
    <col min="21" max="21" width="20.42578125" style="7" bestFit="1" customWidth="1"/>
    <col min="22" max="22" width="70.28515625" style="100" bestFit="1" customWidth="1"/>
    <col min="23" max="23" width="11.42578125" style="7"/>
    <col min="24" max="24" width="10.42578125" style="7" bestFit="1" customWidth="1"/>
    <col min="25" max="37" width="11.42578125" style="7"/>
    <col min="38" max="38" width="12.85546875" style="7" bestFit="1" customWidth="1"/>
    <col min="39" max="16384" width="11.42578125" style="7"/>
  </cols>
  <sheetData>
    <row r="1" spans="2:38" hidden="1" x14ac:dyDescent="0.25">
      <c r="B1" s="1" t="s">
        <v>0</v>
      </c>
      <c r="C1" s="175" t="s">
        <v>1</v>
      </c>
      <c r="D1" s="176"/>
      <c r="E1" s="176"/>
      <c r="F1" s="176"/>
      <c r="G1" s="176"/>
      <c r="H1" s="176"/>
      <c r="I1" s="176"/>
      <c r="J1" s="176"/>
      <c r="K1" s="176"/>
      <c r="M1" s="3"/>
      <c r="N1" s="3"/>
      <c r="O1" s="3"/>
      <c r="P1" s="3"/>
      <c r="Q1" s="4"/>
      <c r="R1" s="4"/>
      <c r="S1" s="4"/>
      <c r="T1" s="3"/>
      <c r="U1" s="5"/>
      <c r="V1" s="6"/>
    </row>
    <row r="2" spans="2:38" hidden="1" x14ac:dyDescent="0.25">
      <c r="B2" s="1" t="s">
        <v>2</v>
      </c>
      <c r="C2" s="176" t="s">
        <v>3</v>
      </c>
      <c r="D2" s="176"/>
      <c r="E2" s="176"/>
      <c r="F2" s="176"/>
      <c r="G2" s="176"/>
      <c r="H2" s="176"/>
      <c r="I2" s="176"/>
      <c r="J2" s="176"/>
      <c r="K2" s="176"/>
      <c r="M2" s="3"/>
      <c r="N2" s="3"/>
      <c r="O2" s="3"/>
      <c r="P2" s="3"/>
      <c r="Q2" s="4"/>
      <c r="R2" s="4"/>
      <c r="S2" s="4"/>
      <c r="T2" s="3"/>
      <c r="U2" s="5"/>
      <c r="V2" s="8"/>
    </row>
    <row r="3" spans="2:38" hidden="1" x14ac:dyDescent="0.25">
      <c r="B3" s="1" t="s">
        <v>4</v>
      </c>
      <c r="C3" s="175" t="s">
        <v>5</v>
      </c>
      <c r="D3" s="176"/>
      <c r="E3" s="176"/>
      <c r="F3" s="176"/>
      <c r="G3" s="176"/>
      <c r="H3" s="176"/>
      <c r="I3" s="176"/>
      <c r="J3" s="176"/>
      <c r="K3" s="176"/>
      <c r="M3" s="9"/>
      <c r="N3" s="9"/>
      <c r="O3" s="9"/>
      <c r="P3" s="3"/>
      <c r="Q3" s="10"/>
      <c r="R3" s="10"/>
      <c r="S3" s="10"/>
      <c r="T3" s="3"/>
      <c r="U3" s="5"/>
      <c r="V3" s="6"/>
    </row>
    <row r="4" spans="2:38" hidden="1" x14ac:dyDescent="0.25">
      <c r="B4" s="12" t="s">
        <v>6</v>
      </c>
      <c r="C4" s="176" t="s">
        <v>7</v>
      </c>
      <c r="D4" s="176"/>
      <c r="E4" s="176"/>
      <c r="F4" s="176"/>
      <c r="G4" s="176"/>
      <c r="H4" s="176"/>
      <c r="I4" s="176"/>
      <c r="J4" s="176"/>
      <c r="K4" s="176"/>
      <c r="M4" s="9"/>
      <c r="N4" s="9"/>
      <c r="O4" s="9"/>
      <c r="P4" s="3"/>
      <c r="Q4" s="10"/>
      <c r="R4" s="10"/>
      <c r="S4" s="10"/>
      <c r="T4" s="3"/>
      <c r="U4" s="5"/>
      <c r="V4" s="13"/>
    </row>
    <row r="5" spans="2:38" hidden="1" x14ac:dyDescent="0.25">
      <c r="B5" s="1" t="s">
        <v>8</v>
      </c>
      <c r="C5" s="177" t="s">
        <v>9</v>
      </c>
      <c r="D5" s="177"/>
      <c r="E5" s="177"/>
      <c r="F5" s="177"/>
      <c r="G5" s="177"/>
      <c r="H5" s="177"/>
      <c r="I5" s="177"/>
      <c r="J5" s="177"/>
      <c r="K5" s="177"/>
      <c r="M5" s="14"/>
      <c r="N5" s="14"/>
      <c r="O5" s="14"/>
      <c r="P5" s="3"/>
      <c r="Q5" s="15"/>
      <c r="R5" s="15"/>
      <c r="S5" s="15"/>
      <c r="T5" s="3"/>
      <c r="U5" s="5"/>
      <c r="V5" s="8"/>
    </row>
    <row r="6" spans="2:38" hidden="1" x14ac:dyDescent="0.25">
      <c r="B6" s="17" t="s">
        <v>85</v>
      </c>
      <c r="C6" s="17"/>
      <c r="D6" s="18"/>
      <c r="E6" s="18"/>
      <c r="F6" s="18"/>
      <c r="G6" s="18"/>
      <c r="H6" s="18"/>
      <c r="I6" s="18"/>
      <c r="J6" s="18"/>
      <c r="K6" s="18"/>
      <c r="M6" s="19"/>
      <c r="N6" s="19"/>
      <c r="O6" s="19"/>
      <c r="P6" s="19"/>
      <c r="Q6" s="20"/>
      <c r="R6" s="20"/>
      <c r="S6" s="20"/>
      <c r="T6" s="22"/>
      <c r="U6" s="22"/>
      <c r="V6" s="22"/>
    </row>
    <row r="7" spans="2:38" s="32" customFormat="1" ht="44.25" customHeight="1" x14ac:dyDescent="0.25">
      <c r="B7" s="24" t="s">
        <v>11</v>
      </c>
      <c r="C7" s="24" t="s">
        <v>12</v>
      </c>
      <c r="D7" s="24" t="s">
        <v>13</v>
      </c>
      <c r="E7" s="24" t="s">
        <v>14</v>
      </c>
      <c r="F7" s="24" t="s">
        <v>15</v>
      </c>
      <c r="G7" s="24" t="s">
        <v>16</v>
      </c>
      <c r="H7" s="24" t="s">
        <v>28</v>
      </c>
      <c r="I7" s="24" t="s">
        <v>18</v>
      </c>
      <c r="J7" s="24" t="s">
        <v>19</v>
      </c>
      <c r="K7" s="24" t="s">
        <v>20</v>
      </c>
      <c r="L7" s="25"/>
      <c r="M7" s="26" t="s">
        <v>21</v>
      </c>
      <c r="N7" s="26" t="s">
        <v>79</v>
      </c>
      <c r="O7" s="26" t="s">
        <v>80</v>
      </c>
      <c r="P7" s="26" t="s">
        <v>24</v>
      </c>
      <c r="Q7" s="27" t="s">
        <v>25</v>
      </c>
      <c r="R7" s="27" t="s">
        <v>26</v>
      </c>
      <c r="S7" s="173" t="s">
        <v>31</v>
      </c>
      <c r="T7" s="29" t="s">
        <v>29</v>
      </c>
      <c r="U7" s="30" t="s">
        <v>30</v>
      </c>
      <c r="V7" s="29" t="s">
        <v>32</v>
      </c>
    </row>
    <row r="8" spans="2:38" ht="50.25" customHeight="1" x14ac:dyDescent="0.25">
      <c r="B8" s="33" t="s">
        <v>33</v>
      </c>
      <c r="C8" s="34">
        <v>30071</v>
      </c>
      <c r="D8" s="35" t="s">
        <v>34</v>
      </c>
      <c r="E8" s="36" t="s">
        <v>35</v>
      </c>
      <c r="F8" s="37">
        <v>71300</v>
      </c>
      <c r="G8" s="38" t="s">
        <v>36</v>
      </c>
      <c r="H8" s="39">
        <f>12500+48000</f>
        <v>60500</v>
      </c>
      <c r="I8" s="39">
        <v>0</v>
      </c>
      <c r="J8" s="40">
        <v>0</v>
      </c>
      <c r="K8" s="40">
        <f t="shared" ref="K8:K22" si="0">SUM(H8:J8)</f>
        <v>60500</v>
      </c>
      <c r="L8" s="41"/>
      <c r="M8" s="40">
        <v>12500</v>
      </c>
      <c r="N8" s="49">
        <v>32270</v>
      </c>
      <c r="O8" s="40">
        <f>+M8+N8</f>
        <v>44770</v>
      </c>
      <c r="P8" s="43">
        <f t="shared" ref="P8:P23" si="1">IF(K8=0,0,O8/K8)</f>
        <v>0.74</v>
      </c>
      <c r="Q8" s="39">
        <f>+(H8-M8)+I8</f>
        <v>48000</v>
      </c>
      <c r="R8" s="39">
        <f>+K8-M8-N8</f>
        <v>15730</v>
      </c>
      <c r="S8" s="39">
        <f t="shared" ref="S8:S22" si="2">+N8</f>
        <v>32270</v>
      </c>
      <c r="T8" s="40">
        <f>+R8</f>
        <v>15730</v>
      </c>
      <c r="U8" s="45">
        <f t="shared" ref="U8:U22" si="3">+O8+R8</f>
        <v>60500</v>
      </c>
      <c r="V8" s="46" t="s">
        <v>84</v>
      </c>
      <c r="W8" s="103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</row>
    <row r="9" spans="2:38" ht="31.5" x14ac:dyDescent="0.25">
      <c r="B9" s="33" t="s">
        <v>33</v>
      </c>
      <c r="C9" s="34">
        <v>30071</v>
      </c>
      <c r="D9" s="35" t="s">
        <v>34</v>
      </c>
      <c r="E9" s="36" t="s">
        <v>35</v>
      </c>
      <c r="F9" s="37">
        <v>71400</v>
      </c>
      <c r="G9" s="38" t="s">
        <v>37</v>
      </c>
      <c r="H9" s="39">
        <f>95974.44+5665</f>
        <v>101639.44</v>
      </c>
      <c r="I9" s="39">
        <v>17400</v>
      </c>
      <c r="J9" s="39">
        <f>33775.35-5665</f>
        <v>28110.35</v>
      </c>
      <c r="K9" s="40">
        <f t="shared" si="0"/>
        <v>147149.79</v>
      </c>
      <c r="L9" s="48"/>
      <c r="M9" s="40">
        <v>42898.35</v>
      </c>
      <c r="N9" s="49">
        <f>65234.03+5588.78</f>
        <v>70822.81</v>
      </c>
      <c r="O9" s="40">
        <f t="shared" ref="O9:O22" si="4">+M9+N9</f>
        <v>113721.16</v>
      </c>
      <c r="P9" s="43">
        <f t="shared" si="1"/>
        <v>0.77282583957476259</v>
      </c>
      <c r="Q9" s="39">
        <f>+(H9-M9)+I9</f>
        <v>76141.09</v>
      </c>
      <c r="R9" s="39">
        <f>+K9-M9-N9</f>
        <v>33428.630000000005</v>
      </c>
      <c r="S9" s="39">
        <f t="shared" si="2"/>
        <v>70822.81</v>
      </c>
      <c r="T9" s="40">
        <f t="shared" ref="T9:T22" si="5">+R9</f>
        <v>33428.630000000005</v>
      </c>
      <c r="U9" s="45">
        <f t="shared" si="3"/>
        <v>147149.79</v>
      </c>
      <c r="V9" s="121" t="s">
        <v>83</v>
      </c>
      <c r="X9" s="120"/>
      <c r="Y9" s="119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</row>
    <row r="10" spans="2:38" ht="31.5" x14ac:dyDescent="0.25">
      <c r="B10" s="33" t="s">
        <v>33</v>
      </c>
      <c r="C10" s="34">
        <v>30071</v>
      </c>
      <c r="D10" s="35" t="s">
        <v>34</v>
      </c>
      <c r="E10" s="36" t="s">
        <v>35</v>
      </c>
      <c r="F10" s="37">
        <v>71500</v>
      </c>
      <c r="G10" s="38" t="s">
        <v>65</v>
      </c>
      <c r="H10" s="39"/>
      <c r="I10" s="39"/>
      <c r="J10" s="39">
        <v>5665</v>
      </c>
      <c r="K10" s="40">
        <f t="shared" si="0"/>
        <v>5665</v>
      </c>
      <c r="L10" s="48"/>
      <c r="M10" s="40"/>
      <c r="N10" s="49"/>
      <c r="O10" s="40"/>
      <c r="P10" s="43"/>
      <c r="Q10" s="39"/>
      <c r="R10" s="39">
        <f>+K10-M10-N10</f>
        <v>5665</v>
      </c>
      <c r="S10" s="39">
        <f t="shared" si="2"/>
        <v>0</v>
      </c>
      <c r="T10" s="40">
        <f t="shared" si="5"/>
        <v>5665</v>
      </c>
      <c r="U10" s="45">
        <f t="shared" si="3"/>
        <v>5665</v>
      </c>
      <c r="V10" s="50" t="s">
        <v>76</v>
      </c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</row>
    <row r="11" spans="2:38" ht="31.5" x14ac:dyDescent="0.25">
      <c r="B11" s="33" t="s">
        <v>33</v>
      </c>
      <c r="C11" s="34">
        <v>30071</v>
      </c>
      <c r="D11" s="35" t="s">
        <v>34</v>
      </c>
      <c r="E11" s="36" t="s">
        <v>35</v>
      </c>
      <c r="F11" s="37">
        <v>71600</v>
      </c>
      <c r="G11" s="38" t="s">
        <v>39</v>
      </c>
      <c r="H11" s="39">
        <v>9192.06</v>
      </c>
      <c r="I11" s="39">
        <v>0</v>
      </c>
      <c r="J11" s="40">
        <v>-1148.6500000000001</v>
      </c>
      <c r="K11" s="40">
        <f t="shared" si="0"/>
        <v>8043.41</v>
      </c>
      <c r="L11" s="48"/>
      <c r="M11" s="40">
        <v>2192.06</v>
      </c>
      <c r="N11" s="42"/>
      <c r="O11" s="40">
        <f t="shared" si="4"/>
        <v>2192.06</v>
      </c>
      <c r="P11" s="43">
        <f t="shared" si="1"/>
        <v>0.27252869118943335</v>
      </c>
      <c r="Q11" s="39">
        <f t="shared" ref="Q11:Q22" si="6">+(H11-M11)+I11</f>
        <v>7000</v>
      </c>
      <c r="R11" s="39">
        <f t="shared" ref="R11:R22" si="7">+K11-M11-N11</f>
        <v>5851.35</v>
      </c>
      <c r="S11" s="39">
        <f t="shared" si="2"/>
        <v>0</v>
      </c>
      <c r="T11" s="40">
        <f t="shared" si="5"/>
        <v>5851.35</v>
      </c>
      <c r="U11" s="45">
        <f t="shared" si="3"/>
        <v>8043.41</v>
      </c>
      <c r="V11" s="50" t="s">
        <v>40</v>
      </c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</row>
    <row r="12" spans="2:38" ht="45.75" customHeight="1" x14ac:dyDescent="0.25">
      <c r="B12" s="33" t="s">
        <v>33</v>
      </c>
      <c r="C12" s="34">
        <v>30071</v>
      </c>
      <c r="D12" s="35" t="s">
        <v>34</v>
      </c>
      <c r="E12" s="36" t="s">
        <v>35</v>
      </c>
      <c r="F12" s="105">
        <v>72100</v>
      </c>
      <c r="G12" s="106" t="s">
        <v>41</v>
      </c>
      <c r="H12" s="107">
        <v>272450.21999999997</v>
      </c>
      <c r="I12" s="107">
        <v>260269.86</v>
      </c>
      <c r="J12" s="108">
        <f>-33775.35-300</f>
        <v>-34075.35</v>
      </c>
      <c r="K12" s="108">
        <f t="shared" si="0"/>
        <v>498644.73</v>
      </c>
      <c r="L12" s="109"/>
      <c r="M12" s="108">
        <v>8292.7199999999993</v>
      </c>
      <c r="N12" s="110">
        <v>436320</v>
      </c>
      <c r="O12" s="108">
        <f t="shared" si="4"/>
        <v>444612.72</v>
      </c>
      <c r="P12" s="111">
        <f t="shared" si="1"/>
        <v>0.89164227204406632</v>
      </c>
      <c r="Q12" s="107">
        <f t="shared" si="6"/>
        <v>524427.36</v>
      </c>
      <c r="R12" s="107">
        <f t="shared" si="7"/>
        <v>54032.010000000009</v>
      </c>
      <c r="S12" s="39">
        <f t="shared" si="2"/>
        <v>436320</v>
      </c>
      <c r="T12" s="40">
        <f t="shared" si="5"/>
        <v>54032.010000000009</v>
      </c>
      <c r="U12" s="112">
        <f t="shared" si="3"/>
        <v>498644.73</v>
      </c>
      <c r="V12" s="53" t="s">
        <v>42</v>
      </c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</row>
    <row r="13" spans="2:38" ht="31.5" x14ac:dyDescent="0.25">
      <c r="B13" s="33" t="s">
        <v>33</v>
      </c>
      <c r="C13" s="34">
        <v>30071</v>
      </c>
      <c r="D13" s="35" t="s">
        <v>34</v>
      </c>
      <c r="E13" s="36" t="s">
        <v>35</v>
      </c>
      <c r="F13" s="105">
        <v>72400</v>
      </c>
      <c r="G13" s="113" t="s">
        <v>43</v>
      </c>
      <c r="H13" s="107">
        <v>2963</v>
      </c>
      <c r="I13" s="107"/>
      <c r="J13" s="108">
        <v>-766.65</v>
      </c>
      <c r="K13" s="108">
        <f t="shared" si="0"/>
        <v>2196.35</v>
      </c>
      <c r="L13" s="114"/>
      <c r="M13" s="108">
        <v>951.6</v>
      </c>
      <c r="N13" s="115"/>
      <c r="O13" s="108">
        <f t="shared" si="4"/>
        <v>951.6</v>
      </c>
      <c r="P13" s="111">
        <f t="shared" si="1"/>
        <v>0.43326427937259548</v>
      </c>
      <c r="Q13" s="107">
        <f t="shared" si="6"/>
        <v>2011.4</v>
      </c>
      <c r="R13" s="107">
        <f t="shared" si="7"/>
        <v>1244.75</v>
      </c>
      <c r="S13" s="39">
        <f t="shared" si="2"/>
        <v>0</v>
      </c>
      <c r="T13" s="40">
        <f t="shared" si="5"/>
        <v>1244.75</v>
      </c>
      <c r="U13" s="112">
        <f t="shared" si="3"/>
        <v>2196.35</v>
      </c>
      <c r="V13" s="46" t="s">
        <v>44</v>
      </c>
      <c r="W13" s="103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</row>
    <row r="14" spans="2:38" ht="31.5" x14ac:dyDescent="0.25">
      <c r="B14" s="33" t="s">
        <v>33</v>
      </c>
      <c r="C14" s="34">
        <v>30071</v>
      </c>
      <c r="D14" s="35" t="s">
        <v>34</v>
      </c>
      <c r="E14" s="36" t="s">
        <v>35</v>
      </c>
      <c r="F14" s="105">
        <v>72500</v>
      </c>
      <c r="G14" s="113" t="s">
        <v>45</v>
      </c>
      <c r="H14" s="107">
        <v>150</v>
      </c>
      <c r="I14" s="107"/>
      <c r="J14" s="108">
        <v>100</v>
      </c>
      <c r="K14" s="108">
        <f t="shared" si="0"/>
        <v>250</v>
      </c>
      <c r="L14" s="114"/>
      <c r="M14" s="108">
        <v>33.44</v>
      </c>
      <c r="N14" s="115">
        <v>14.67</v>
      </c>
      <c r="O14" s="108">
        <f t="shared" si="4"/>
        <v>48.11</v>
      </c>
      <c r="P14" s="111">
        <f t="shared" si="1"/>
        <v>0.19244</v>
      </c>
      <c r="Q14" s="107">
        <f t="shared" si="6"/>
        <v>116.56</v>
      </c>
      <c r="R14" s="107">
        <f t="shared" si="7"/>
        <v>201.89000000000001</v>
      </c>
      <c r="S14" s="39">
        <f t="shared" si="2"/>
        <v>14.67</v>
      </c>
      <c r="T14" s="40">
        <f t="shared" si="5"/>
        <v>201.89000000000001</v>
      </c>
      <c r="U14" s="112">
        <f t="shared" si="3"/>
        <v>250</v>
      </c>
      <c r="V14" s="46" t="s">
        <v>46</v>
      </c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</row>
    <row r="15" spans="2:38" ht="31.5" x14ac:dyDescent="0.25">
      <c r="B15" s="33" t="s">
        <v>33</v>
      </c>
      <c r="C15" s="34"/>
      <c r="D15" s="116" t="s">
        <v>34</v>
      </c>
      <c r="E15" s="117" t="s">
        <v>35</v>
      </c>
      <c r="F15" s="105">
        <v>72800</v>
      </c>
      <c r="G15" s="113" t="s">
        <v>81</v>
      </c>
      <c r="H15" s="107"/>
      <c r="I15" s="107"/>
      <c r="J15" s="108">
        <v>3500</v>
      </c>
      <c r="K15" s="108">
        <f t="shared" si="0"/>
        <v>3500</v>
      </c>
      <c r="L15" s="114"/>
      <c r="M15" s="108"/>
      <c r="N15" s="115"/>
      <c r="O15" s="108"/>
      <c r="P15" s="111"/>
      <c r="Q15" s="107">
        <f t="shared" si="6"/>
        <v>0</v>
      </c>
      <c r="R15" s="107">
        <f t="shared" si="7"/>
        <v>3500</v>
      </c>
      <c r="S15" s="39">
        <f t="shared" si="2"/>
        <v>0</v>
      </c>
      <c r="T15" s="40">
        <f t="shared" si="5"/>
        <v>3500</v>
      </c>
      <c r="U15" s="112">
        <f t="shared" si="3"/>
        <v>3500</v>
      </c>
      <c r="V15" s="46" t="s">
        <v>78</v>
      </c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</row>
    <row r="16" spans="2:38" ht="31.5" x14ac:dyDescent="0.25">
      <c r="B16" s="33" t="s">
        <v>33</v>
      </c>
      <c r="C16" s="34">
        <v>30071</v>
      </c>
      <c r="D16" s="35" t="s">
        <v>34</v>
      </c>
      <c r="E16" s="36" t="s">
        <v>35</v>
      </c>
      <c r="F16" s="105">
        <v>73300</v>
      </c>
      <c r="G16" s="113" t="s">
        <v>47</v>
      </c>
      <c r="H16" s="107">
        <v>100</v>
      </c>
      <c r="I16" s="107"/>
      <c r="J16" s="108">
        <v>100</v>
      </c>
      <c r="K16" s="108">
        <f t="shared" si="0"/>
        <v>200</v>
      </c>
      <c r="L16" s="114"/>
      <c r="M16" s="108">
        <v>0</v>
      </c>
      <c r="N16" s="115">
        <v>0</v>
      </c>
      <c r="O16" s="108">
        <f t="shared" si="4"/>
        <v>0</v>
      </c>
      <c r="P16" s="111">
        <f t="shared" si="1"/>
        <v>0</v>
      </c>
      <c r="Q16" s="107">
        <f t="shared" si="6"/>
        <v>100</v>
      </c>
      <c r="R16" s="107">
        <f t="shared" si="7"/>
        <v>200</v>
      </c>
      <c r="S16" s="39">
        <f t="shared" si="2"/>
        <v>0</v>
      </c>
      <c r="T16" s="40">
        <f t="shared" si="5"/>
        <v>200</v>
      </c>
      <c r="U16" s="112">
        <f t="shared" si="3"/>
        <v>200</v>
      </c>
      <c r="V16" s="46" t="s">
        <v>48</v>
      </c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</row>
    <row r="17" spans="2:38" ht="31.5" x14ac:dyDescent="0.25">
      <c r="B17" s="33" t="s">
        <v>33</v>
      </c>
      <c r="C17" s="34">
        <v>30071</v>
      </c>
      <c r="D17" s="35" t="s">
        <v>34</v>
      </c>
      <c r="E17" s="36" t="s">
        <v>35</v>
      </c>
      <c r="F17" s="37">
        <v>74200</v>
      </c>
      <c r="G17" s="38" t="s">
        <v>49</v>
      </c>
      <c r="H17" s="39"/>
      <c r="I17" s="39"/>
      <c r="J17" s="40">
        <v>6500</v>
      </c>
      <c r="K17" s="40">
        <f t="shared" si="0"/>
        <v>6500</v>
      </c>
      <c r="L17" s="48"/>
      <c r="M17" s="40">
        <v>0</v>
      </c>
      <c r="N17" s="42"/>
      <c r="O17" s="40"/>
      <c r="P17" s="43"/>
      <c r="Q17" s="39">
        <f t="shared" si="6"/>
        <v>0</v>
      </c>
      <c r="R17" s="39">
        <f t="shared" si="7"/>
        <v>6500</v>
      </c>
      <c r="S17" s="39">
        <f t="shared" si="2"/>
        <v>0</v>
      </c>
      <c r="T17" s="40">
        <f t="shared" si="5"/>
        <v>6500</v>
      </c>
      <c r="U17" s="45">
        <f t="shared" si="3"/>
        <v>6500</v>
      </c>
      <c r="V17" s="46" t="s">
        <v>50</v>
      </c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</row>
    <row r="18" spans="2:38" ht="31.5" x14ac:dyDescent="0.25">
      <c r="B18" s="33" t="s">
        <v>33</v>
      </c>
      <c r="C18" s="34">
        <v>30071</v>
      </c>
      <c r="D18" s="35" t="s">
        <v>34</v>
      </c>
      <c r="E18" s="36" t="s">
        <v>35</v>
      </c>
      <c r="F18" s="37">
        <v>74500</v>
      </c>
      <c r="G18" s="38" t="s">
        <v>51</v>
      </c>
      <c r="H18" s="39">
        <v>90</v>
      </c>
      <c r="I18" s="54"/>
      <c r="J18" s="55"/>
      <c r="K18" s="40">
        <f t="shared" si="0"/>
        <v>90</v>
      </c>
      <c r="L18" s="48"/>
      <c r="M18" s="40">
        <v>22.97</v>
      </c>
      <c r="N18" s="49">
        <v>51.19</v>
      </c>
      <c r="O18" s="40">
        <f t="shared" si="4"/>
        <v>74.16</v>
      </c>
      <c r="P18" s="43">
        <f t="shared" si="1"/>
        <v>0.82399999999999995</v>
      </c>
      <c r="Q18" s="39">
        <f t="shared" si="6"/>
        <v>67.03</v>
      </c>
      <c r="R18" s="39">
        <f t="shared" si="7"/>
        <v>15.840000000000003</v>
      </c>
      <c r="S18" s="39">
        <f t="shared" si="2"/>
        <v>51.19</v>
      </c>
      <c r="T18" s="40">
        <f t="shared" si="5"/>
        <v>15.840000000000003</v>
      </c>
      <c r="U18" s="45">
        <f t="shared" si="3"/>
        <v>90</v>
      </c>
      <c r="V18" s="50" t="s">
        <v>52</v>
      </c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</row>
    <row r="19" spans="2:38" ht="31.5" x14ac:dyDescent="0.25">
      <c r="B19" s="33" t="s">
        <v>33</v>
      </c>
      <c r="C19" s="34">
        <v>30071</v>
      </c>
      <c r="D19" s="35" t="s">
        <v>34</v>
      </c>
      <c r="E19" s="36" t="s">
        <v>35</v>
      </c>
      <c r="F19" s="37">
        <v>74596</v>
      </c>
      <c r="G19" s="38" t="s">
        <v>53</v>
      </c>
      <c r="H19" s="39">
        <f>8271.39+1122.7</f>
        <v>9394.09</v>
      </c>
      <c r="I19" s="54"/>
      <c r="J19" s="55">
        <v>350</v>
      </c>
      <c r="K19" s="40">
        <f t="shared" si="0"/>
        <v>9744.09</v>
      </c>
      <c r="L19" s="48"/>
      <c r="M19" s="40">
        <v>2184.96</v>
      </c>
      <c r="N19" s="49">
        <f>3290.64+1071.38</f>
        <v>4362.0200000000004</v>
      </c>
      <c r="O19" s="40">
        <f t="shared" si="4"/>
        <v>6546.9800000000005</v>
      </c>
      <c r="P19" s="43">
        <f t="shared" si="1"/>
        <v>0.67189239836659964</v>
      </c>
      <c r="Q19" s="39">
        <f t="shared" si="6"/>
        <v>7209.13</v>
      </c>
      <c r="R19" s="39">
        <f t="shared" si="7"/>
        <v>3197.1099999999997</v>
      </c>
      <c r="S19" s="39">
        <f t="shared" si="2"/>
        <v>4362.0200000000004</v>
      </c>
      <c r="T19" s="40">
        <f t="shared" si="5"/>
        <v>3197.1099999999997</v>
      </c>
      <c r="U19" s="45">
        <f t="shared" si="3"/>
        <v>9744.09</v>
      </c>
      <c r="V19" s="50" t="s">
        <v>53</v>
      </c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</row>
    <row r="20" spans="2:38" ht="31.5" x14ac:dyDescent="0.25">
      <c r="B20" s="33" t="s">
        <v>33</v>
      </c>
      <c r="C20" s="34">
        <v>30071</v>
      </c>
      <c r="D20" s="35" t="s">
        <v>34</v>
      </c>
      <c r="E20" s="36" t="s">
        <v>35</v>
      </c>
      <c r="F20" s="37">
        <v>74700</v>
      </c>
      <c r="G20" s="38" t="s">
        <v>54</v>
      </c>
      <c r="H20" s="39">
        <v>615</v>
      </c>
      <c r="I20" s="54"/>
      <c r="J20" s="118">
        <f>1148.65+4173.21+100-3500</f>
        <v>1921.8600000000006</v>
      </c>
      <c r="K20" s="40">
        <f t="shared" si="0"/>
        <v>2536.8600000000006</v>
      </c>
      <c r="L20" s="48"/>
      <c r="M20" s="40">
        <v>288.2</v>
      </c>
      <c r="N20" s="49">
        <v>108.28</v>
      </c>
      <c r="O20" s="40">
        <f t="shared" si="4"/>
        <v>396.48</v>
      </c>
      <c r="P20" s="43">
        <f t="shared" si="1"/>
        <v>0.15628769423618172</v>
      </c>
      <c r="Q20" s="39">
        <f t="shared" si="6"/>
        <v>326.8</v>
      </c>
      <c r="R20" s="39">
        <f t="shared" si="7"/>
        <v>2140.3800000000006</v>
      </c>
      <c r="S20" s="39">
        <f t="shared" si="2"/>
        <v>108.28</v>
      </c>
      <c r="T20" s="40">
        <f t="shared" si="5"/>
        <v>2140.3800000000006</v>
      </c>
      <c r="U20" s="45">
        <f t="shared" si="3"/>
        <v>2536.8600000000006</v>
      </c>
      <c r="V20" s="50" t="s">
        <v>82</v>
      </c>
      <c r="X20" s="119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</row>
    <row r="21" spans="2:38" ht="31.5" x14ac:dyDescent="0.25">
      <c r="B21" s="33" t="s">
        <v>33</v>
      </c>
      <c r="C21" s="34">
        <v>30071</v>
      </c>
      <c r="D21" s="35" t="s">
        <v>34</v>
      </c>
      <c r="E21" s="36" t="s">
        <v>35</v>
      </c>
      <c r="F21" s="37">
        <v>75100</v>
      </c>
      <c r="G21" s="38" t="s">
        <v>56</v>
      </c>
      <c r="H21" s="39">
        <f>20529.99+2862.89</f>
        <v>23392.880000000001</v>
      </c>
      <c r="I21" s="39">
        <v>13883.49</v>
      </c>
      <c r="J21" s="40">
        <v>416.65</v>
      </c>
      <c r="K21" s="40">
        <f t="shared" si="0"/>
        <v>37693.020000000004</v>
      </c>
      <c r="L21" s="48"/>
      <c r="M21" s="40">
        <v>3468.25</v>
      </c>
      <c r="N21" s="49">
        <v>27231.93</v>
      </c>
      <c r="O21" s="40">
        <f t="shared" si="4"/>
        <v>30700.18</v>
      </c>
      <c r="P21" s="43">
        <f t="shared" si="1"/>
        <v>0.8144791794342825</v>
      </c>
      <c r="Q21" s="39">
        <f t="shared" si="6"/>
        <v>33808.120000000003</v>
      </c>
      <c r="R21" s="39">
        <f t="shared" si="7"/>
        <v>6992.8400000000038</v>
      </c>
      <c r="S21" s="39">
        <f t="shared" si="2"/>
        <v>27231.93</v>
      </c>
      <c r="T21" s="40">
        <f t="shared" si="5"/>
        <v>6992.8400000000038</v>
      </c>
      <c r="U21" s="45">
        <f t="shared" si="3"/>
        <v>37693.020000000004</v>
      </c>
      <c r="V21" s="50" t="s">
        <v>57</v>
      </c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</row>
    <row r="22" spans="2:38" ht="31.5" x14ac:dyDescent="0.25">
      <c r="B22" s="33" t="s">
        <v>33</v>
      </c>
      <c r="C22" s="34">
        <v>30071</v>
      </c>
      <c r="D22" s="35" t="s">
        <v>34</v>
      </c>
      <c r="E22" s="36" t="s">
        <v>35</v>
      </c>
      <c r="F22" s="37">
        <v>75700</v>
      </c>
      <c r="G22" s="38" t="s">
        <v>58</v>
      </c>
      <c r="H22" s="54">
        <f>17043.31+2470</f>
        <v>19513.310000000001</v>
      </c>
      <c r="I22" s="54">
        <v>0</v>
      </c>
      <c r="J22" s="55">
        <f>350+(-6500-4173.21-350)</f>
        <v>-10673.21</v>
      </c>
      <c r="K22" s="40">
        <f t="shared" si="0"/>
        <v>8840.1000000000022</v>
      </c>
      <c r="L22" s="48"/>
      <c r="M22" s="40">
        <v>0</v>
      </c>
      <c r="N22" s="49">
        <v>688.55</v>
      </c>
      <c r="O22" s="40">
        <f t="shared" si="4"/>
        <v>688.55</v>
      </c>
      <c r="P22" s="43">
        <f t="shared" si="1"/>
        <v>7.7889390391511382E-2</v>
      </c>
      <c r="Q22" s="39">
        <f t="shared" si="6"/>
        <v>19513.310000000001</v>
      </c>
      <c r="R22" s="39">
        <f t="shared" si="7"/>
        <v>8151.550000000002</v>
      </c>
      <c r="S22" s="39">
        <f t="shared" si="2"/>
        <v>688.55</v>
      </c>
      <c r="T22" s="40">
        <f t="shared" si="5"/>
        <v>8151.550000000002</v>
      </c>
      <c r="U22" s="45">
        <f t="shared" si="3"/>
        <v>8840.1000000000022</v>
      </c>
      <c r="V22" s="50" t="s">
        <v>77</v>
      </c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</row>
    <row r="23" spans="2:38" ht="32.25" thickBot="1" x14ac:dyDescent="0.3">
      <c r="B23" s="56" t="s">
        <v>60</v>
      </c>
      <c r="C23" s="57"/>
      <c r="D23" s="58" t="s">
        <v>61</v>
      </c>
      <c r="E23" s="58"/>
      <c r="F23" s="58"/>
      <c r="G23" s="59" t="s">
        <v>62</v>
      </c>
      <c r="H23" s="60">
        <f>SUM(H8:H22)</f>
        <v>500000</v>
      </c>
      <c r="I23" s="61">
        <f>SUM(I8:I22)</f>
        <v>291553.34999999998</v>
      </c>
      <c r="J23" s="61">
        <f>SUM(J8:J22)</f>
        <v>0</v>
      </c>
      <c r="K23" s="61">
        <f>SUM(K8:K22)</f>
        <v>791553.34999999986</v>
      </c>
      <c r="L23" s="48"/>
      <c r="M23" s="62">
        <f>SUM(M8:M22)</f>
        <v>72832.55</v>
      </c>
      <c r="N23" s="62">
        <f>SUM(N8:N22)</f>
        <v>571869.45000000019</v>
      </c>
      <c r="O23" s="62">
        <f>SUM(O8:O22)</f>
        <v>644702</v>
      </c>
      <c r="P23" s="63">
        <f t="shared" si="1"/>
        <v>0.81447700271876822</v>
      </c>
      <c r="Q23" s="62">
        <f>SUM(Q8:Q22)</f>
        <v>718720.80000000016</v>
      </c>
      <c r="R23" s="62">
        <f>SUM(R8:R22)</f>
        <v>146851.35</v>
      </c>
      <c r="S23" s="62">
        <f>SUM(S8:S22)</f>
        <v>571869.45000000019</v>
      </c>
      <c r="T23" s="62">
        <f>SUM(T8:T22)</f>
        <v>146851.35</v>
      </c>
      <c r="U23" s="62">
        <f>SUM(U8:U22)</f>
        <v>791553.34999999986</v>
      </c>
      <c r="V23" s="64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</row>
    <row r="24" spans="2:38" s="5" customFormat="1" ht="17.25" thickTop="1" thickBot="1" x14ac:dyDescent="0.3">
      <c r="C24" s="8"/>
      <c r="H24" s="86"/>
      <c r="I24" s="86"/>
      <c r="J24" s="86"/>
      <c r="K24" s="86"/>
      <c r="L24" s="87"/>
      <c r="M24" s="86"/>
      <c r="N24" s="86"/>
      <c r="O24" s="86"/>
      <c r="P24" s="88"/>
      <c r="Q24" s="89"/>
      <c r="R24" s="89"/>
      <c r="S24" s="4"/>
      <c r="T24" s="86"/>
      <c r="U24" s="90"/>
      <c r="V24" s="91"/>
    </row>
    <row r="25" spans="2:38" s="5" customFormat="1" ht="17.25" thickTop="1" thickBot="1" x14ac:dyDescent="0.3">
      <c r="C25" s="8"/>
      <c r="D25" s="92" t="s">
        <v>73</v>
      </c>
      <c r="G25" s="93" t="s">
        <v>74</v>
      </c>
      <c r="H25" s="94">
        <f>+H23</f>
        <v>500000</v>
      </c>
      <c r="I25" s="94">
        <f>+I23</f>
        <v>291553.34999999998</v>
      </c>
      <c r="J25" s="94">
        <f>+J23</f>
        <v>0</v>
      </c>
      <c r="K25" s="94">
        <f>+K23</f>
        <v>791553.34999999986</v>
      </c>
      <c r="L25" s="87"/>
      <c r="M25" s="94">
        <f t="shared" ref="M25:U25" si="8">+M23</f>
        <v>72832.55</v>
      </c>
      <c r="N25" s="94">
        <f t="shared" si="8"/>
        <v>571869.45000000019</v>
      </c>
      <c r="O25" s="94">
        <f t="shared" si="8"/>
        <v>644702</v>
      </c>
      <c r="P25" s="122">
        <f t="shared" si="8"/>
        <v>0.81447700271876822</v>
      </c>
      <c r="Q25" s="94">
        <f t="shared" si="8"/>
        <v>718720.80000000016</v>
      </c>
      <c r="R25" s="94">
        <f t="shared" si="8"/>
        <v>146851.35</v>
      </c>
      <c r="S25" s="94">
        <f t="shared" si="8"/>
        <v>571869.45000000019</v>
      </c>
      <c r="T25" s="94">
        <f t="shared" si="8"/>
        <v>146851.35</v>
      </c>
      <c r="U25" s="94">
        <f t="shared" si="8"/>
        <v>791553.34999999986</v>
      </c>
      <c r="V25" s="95"/>
    </row>
    <row r="26" spans="2:38" s="5" customFormat="1" ht="16.5" thickTop="1" x14ac:dyDescent="0.25">
      <c r="C26" s="8"/>
      <c r="L26" s="87"/>
      <c r="Q26" s="15"/>
      <c r="R26" s="15"/>
      <c r="S26" s="15"/>
      <c r="U26" s="96"/>
      <c r="V26" s="8"/>
    </row>
    <row r="27" spans="2:38" s="5" customFormat="1" x14ac:dyDescent="0.25">
      <c r="C27" s="8"/>
      <c r="G27" s="97"/>
      <c r="H27" s="98"/>
      <c r="K27" s="98"/>
      <c r="L27" s="87"/>
      <c r="N27" s="98"/>
      <c r="O27" s="98"/>
      <c r="Q27" s="15"/>
      <c r="R27" s="15"/>
      <c r="S27" s="15">
        <f>+S23+T23</f>
        <v>718720.80000000016</v>
      </c>
      <c r="T27" s="96"/>
      <c r="U27" s="98"/>
      <c r="V27" s="8"/>
    </row>
    <row r="28" spans="2:38" s="5" customFormat="1" x14ac:dyDescent="0.25">
      <c r="B28" s="92"/>
      <c r="C28" s="8"/>
      <c r="S28" s="98">
        <f>+S27+M23</f>
        <v>791553.35000000021</v>
      </c>
      <c r="U28" s="98"/>
      <c r="V28" s="8"/>
    </row>
    <row r="29" spans="2:38" x14ac:dyDescent="0.25">
      <c r="B29" s="99"/>
      <c r="J29" s="101"/>
      <c r="K29" s="4"/>
      <c r="L29" s="87"/>
      <c r="M29" s="5"/>
      <c r="N29" s="98"/>
      <c r="O29" s="98"/>
      <c r="P29" s="98"/>
      <c r="Q29" s="4"/>
      <c r="R29" s="4"/>
      <c r="S29" s="4"/>
      <c r="T29" s="98"/>
      <c r="U29" s="103"/>
    </row>
    <row r="30" spans="2:38" x14ac:dyDescent="0.25">
      <c r="B30" s="100"/>
      <c r="C30" s="174"/>
      <c r="D30" s="174"/>
      <c r="E30" s="174"/>
      <c r="F30" s="174"/>
      <c r="G30" s="174"/>
      <c r="H30" s="103"/>
      <c r="J30" s="101"/>
      <c r="K30" s="102"/>
      <c r="N30" s="103"/>
      <c r="O30" s="103"/>
      <c r="U30" s="103"/>
    </row>
    <row r="31" spans="2:38" x14ac:dyDescent="0.25">
      <c r="B31" s="100"/>
      <c r="C31" s="174"/>
      <c r="D31" s="174"/>
      <c r="E31" s="174"/>
      <c r="F31" s="174"/>
      <c r="G31" s="174"/>
      <c r="J31" s="101"/>
      <c r="K31" s="102"/>
      <c r="M31" s="102"/>
      <c r="N31" s="102"/>
      <c r="U31" s="103"/>
    </row>
    <row r="32" spans="2:38" x14ac:dyDescent="0.25">
      <c r="B32" s="100"/>
      <c r="C32" s="174"/>
      <c r="D32" s="174"/>
      <c r="E32" s="174"/>
      <c r="F32" s="174"/>
      <c r="G32" s="174"/>
      <c r="J32" s="101"/>
      <c r="M32" s="103"/>
      <c r="N32" s="103"/>
      <c r="T32" s="103"/>
      <c r="U32" s="103"/>
    </row>
    <row r="33" spans="2:21" x14ac:dyDescent="0.25">
      <c r="B33" s="100"/>
      <c r="C33" s="174"/>
      <c r="D33" s="174"/>
      <c r="E33" s="174"/>
      <c r="F33" s="174"/>
      <c r="G33" s="174"/>
      <c r="J33" s="103"/>
      <c r="K33" s="104"/>
    </row>
    <row r="34" spans="2:21" x14ac:dyDescent="0.25">
      <c r="B34" s="100"/>
      <c r="C34" s="174"/>
      <c r="D34" s="174"/>
      <c r="E34" s="174"/>
      <c r="F34" s="174"/>
      <c r="G34" s="174"/>
    </row>
    <row r="35" spans="2:21" x14ac:dyDescent="0.25">
      <c r="B35" s="100"/>
      <c r="C35" s="174"/>
      <c r="D35" s="174"/>
      <c r="E35" s="174"/>
      <c r="F35" s="174"/>
      <c r="G35" s="174"/>
    </row>
    <row r="36" spans="2:21" x14ac:dyDescent="0.25">
      <c r="B36" s="99"/>
      <c r="C36" s="174"/>
      <c r="D36" s="174"/>
      <c r="E36" s="174"/>
      <c r="F36" s="174"/>
      <c r="G36" s="174"/>
      <c r="M36" s="103"/>
      <c r="N36" s="103"/>
    </row>
    <row r="37" spans="2:21" x14ac:dyDescent="0.25">
      <c r="C37" s="174"/>
      <c r="D37" s="174"/>
      <c r="E37" s="174"/>
      <c r="F37" s="174"/>
      <c r="G37" s="174"/>
      <c r="M37" s="103"/>
      <c r="N37" s="103"/>
    </row>
    <row r="38" spans="2:21" x14ac:dyDescent="0.25">
      <c r="C38" s="174"/>
      <c r="D38" s="174"/>
      <c r="E38" s="174"/>
      <c r="F38" s="174"/>
      <c r="G38" s="174"/>
    </row>
    <row r="39" spans="2:21" x14ac:dyDescent="0.25">
      <c r="C39" s="174"/>
      <c r="D39" s="174"/>
      <c r="E39" s="174"/>
      <c r="F39" s="174"/>
      <c r="G39" s="174"/>
    </row>
    <row r="40" spans="2:21" x14ac:dyDescent="0.25">
      <c r="C40" s="174"/>
      <c r="D40" s="174"/>
      <c r="E40" s="174"/>
      <c r="F40" s="174"/>
      <c r="G40" s="174"/>
    </row>
    <row r="41" spans="2:21" x14ac:dyDescent="0.25">
      <c r="C41" s="174"/>
      <c r="D41" s="174"/>
      <c r="E41" s="174"/>
      <c r="F41" s="174"/>
      <c r="G41" s="174"/>
      <c r="U41" s="7">
        <v>3500</v>
      </c>
    </row>
    <row r="42" spans="2:21" x14ac:dyDescent="0.25">
      <c r="C42" s="174"/>
      <c r="D42" s="174"/>
      <c r="E42" s="174"/>
      <c r="F42" s="174"/>
      <c r="G42" s="174"/>
    </row>
    <row r="43" spans="2:21" x14ac:dyDescent="0.25">
      <c r="C43" s="174"/>
      <c r="D43" s="174"/>
      <c r="E43" s="174"/>
      <c r="F43" s="174"/>
      <c r="G43" s="174"/>
    </row>
    <row r="44" spans="2:21" x14ac:dyDescent="0.25">
      <c r="C44" s="174"/>
      <c r="D44" s="174"/>
      <c r="E44" s="174"/>
      <c r="F44" s="174"/>
      <c r="G44" s="174"/>
    </row>
    <row r="45" spans="2:21" x14ac:dyDescent="0.25">
      <c r="C45" s="174"/>
      <c r="D45" s="174"/>
      <c r="E45" s="174"/>
      <c r="F45" s="174"/>
      <c r="G45" s="174"/>
    </row>
    <row r="46" spans="2:21" x14ac:dyDescent="0.25">
      <c r="C46" s="174"/>
      <c r="D46" s="174"/>
      <c r="E46" s="174"/>
      <c r="F46" s="174"/>
      <c r="G46" s="174"/>
    </row>
  </sheetData>
  <protectedRanges>
    <protectedRange algorithmName="SHA-512" hashValue="uwWbYys/eg+MzKSxU0Jk/7sZwQodOd8u03Ik+zCEq0neHb2AFr5+ksJTU3r/TRlMtJofi7EhLizfLFsXYICVJA==" saltValue="87ymcmsmnLSRtbMya5hA8Q==" spinCount="100000" sqref="U27:U1048576 V26:XFD1048576 K26:T27 B26:J1048576 K29:T1048576 W1:XFD1048576" name="Rango1"/>
  </protectedRanges>
  <autoFilter ref="B7:AL7" xr:uid="{12357771-3F65-465E-83A8-7B598B1FC340}"/>
  <mergeCells count="22">
    <mergeCell ref="C36:G36"/>
    <mergeCell ref="C1:K1"/>
    <mergeCell ref="C2:K2"/>
    <mergeCell ref="C3:K3"/>
    <mergeCell ref="C4:K4"/>
    <mergeCell ref="C5:K5"/>
    <mergeCell ref="C30:G30"/>
    <mergeCell ref="C31:G31"/>
    <mergeCell ref="C32:G32"/>
    <mergeCell ref="C33:G33"/>
    <mergeCell ref="C34:G34"/>
    <mergeCell ref="C35:G35"/>
    <mergeCell ref="C43:G43"/>
    <mergeCell ref="C44:G44"/>
    <mergeCell ref="C45:G45"/>
    <mergeCell ref="C46:G46"/>
    <mergeCell ref="C37:G37"/>
    <mergeCell ref="C38:G38"/>
    <mergeCell ref="C39:G39"/>
    <mergeCell ref="C40:G40"/>
    <mergeCell ref="C41:G41"/>
    <mergeCell ref="C42:G42"/>
  </mergeCells>
  <pageMargins left="0.7" right="0.7" top="0.75" bottom="0.75" header="0.3" footer="0.3"/>
  <pageSetup fitToHeight="0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6B4AE-7484-4761-8B29-39F1E01083CF}">
  <dimension ref="A1"/>
  <sheetViews>
    <sheetView workbookViewId="0">
      <selection activeCell="J5" sqref="J5"/>
    </sheetView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E65F8-56D7-4C6F-BAF8-DC1370129D8F}">
  <sheetPr>
    <pageSetUpPr fitToPage="1"/>
  </sheetPr>
  <dimension ref="A1:AOC44"/>
  <sheetViews>
    <sheetView showGridLines="0" zoomScale="120" zoomScaleNormal="120" workbookViewId="0">
      <selection activeCell="C50" sqref="C50"/>
    </sheetView>
  </sheetViews>
  <sheetFormatPr baseColWidth="10" defaultColWidth="9.140625" defaultRowHeight="15" x14ac:dyDescent="0.25"/>
  <cols>
    <col min="1" max="1" width="27" style="127" bestFit="1" customWidth="1"/>
    <col min="2" max="2" width="36" style="127" customWidth="1"/>
    <col min="3" max="3" width="47.140625" style="127" bestFit="1" customWidth="1"/>
    <col min="4" max="4" width="25" style="127" customWidth="1"/>
    <col min="5" max="5" width="16.42578125" style="127" hidden="1" customWidth="1"/>
    <col min="6" max="16384" width="9.140625" style="127"/>
  </cols>
  <sheetData>
    <row r="1" spans="1:5" ht="15.75" thickBot="1" x14ac:dyDescent="0.3"/>
    <row r="2" spans="1:5" ht="15.75" thickBot="1" x14ac:dyDescent="0.3">
      <c r="A2" s="202" t="s">
        <v>132</v>
      </c>
      <c r="B2" s="203"/>
      <c r="C2" s="203"/>
      <c r="D2" s="204"/>
    </row>
    <row r="3" spans="1:5" x14ac:dyDescent="0.25">
      <c r="A3" s="201"/>
      <c r="B3" s="201"/>
      <c r="C3" s="201"/>
      <c r="D3" s="201"/>
    </row>
    <row r="4" spans="1:5" x14ac:dyDescent="0.25">
      <c r="A4" s="124" t="s">
        <v>89</v>
      </c>
      <c r="B4" s="125" t="s">
        <v>130</v>
      </c>
      <c r="C4" s="126"/>
      <c r="D4" s="126"/>
    </row>
    <row r="5" spans="1:5" x14ac:dyDescent="0.25">
      <c r="A5" s="129" t="s">
        <v>90</v>
      </c>
      <c r="B5" s="130">
        <f>+D13+D17+D23+D25+D26+D27+D28+D39+D40+D42</f>
        <v>744882.89</v>
      </c>
      <c r="C5" s="131"/>
      <c r="D5" s="131"/>
    </row>
    <row r="6" spans="1:5" x14ac:dyDescent="0.25">
      <c r="A6" s="129" t="s">
        <v>88</v>
      </c>
      <c r="B6" s="130">
        <f>+D36+D43</f>
        <v>9394.09</v>
      </c>
      <c r="C6" s="132"/>
      <c r="D6" s="132"/>
    </row>
    <row r="7" spans="1:5" x14ac:dyDescent="0.25">
      <c r="A7" s="129" t="s">
        <v>91</v>
      </c>
      <c r="B7" s="130">
        <f>+D37+D44</f>
        <v>37276.365000000005</v>
      </c>
      <c r="C7" s="132"/>
      <c r="D7" s="132"/>
      <c r="E7" s="126"/>
    </row>
    <row r="8" spans="1:5" x14ac:dyDescent="0.25">
      <c r="A8" s="133" t="s">
        <v>92</v>
      </c>
      <c r="B8" s="128">
        <f>+B5+B6+B7</f>
        <v>791553.34499999997</v>
      </c>
      <c r="C8" s="126"/>
      <c r="D8" s="126"/>
      <c r="E8" s="126"/>
    </row>
    <row r="9" spans="1:5" x14ac:dyDescent="0.25">
      <c r="C9" s="134"/>
      <c r="D9" s="134"/>
      <c r="E9" s="126"/>
    </row>
    <row r="10" spans="1:5" s="136" customFormat="1" x14ac:dyDescent="0.25">
      <c r="A10" s="135" t="s">
        <v>93</v>
      </c>
      <c r="B10" s="135" t="s">
        <v>94</v>
      </c>
      <c r="C10" s="135" t="s">
        <v>95</v>
      </c>
      <c r="D10" s="135" t="s">
        <v>86</v>
      </c>
      <c r="E10" s="135" t="s">
        <v>129</v>
      </c>
    </row>
    <row r="11" spans="1:5" ht="15" customHeight="1" x14ac:dyDescent="0.25">
      <c r="A11" s="198" t="s">
        <v>96</v>
      </c>
      <c r="B11" s="180"/>
      <c r="C11" s="138" t="s">
        <v>97</v>
      </c>
      <c r="D11" s="166">
        <f>+D12+D38</f>
        <v>791553.34499999997</v>
      </c>
      <c r="E11" s="165">
        <f>+E12+E38</f>
        <v>791553.35</v>
      </c>
    </row>
    <row r="12" spans="1:5" ht="15.75" thickBot="1" x14ac:dyDescent="0.3">
      <c r="A12" s="199"/>
      <c r="B12" s="181"/>
      <c r="C12" s="139" t="s">
        <v>98</v>
      </c>
      <c r="D12" s="167">
        <f>SUM(D13+D17+D23+D25+D26+D27+D28+D36+D37)</f>
        <v>731432.76</v>
      </c>
      <c r="E12" s="164">
        <f>SUM(E13:E37)</f>
        <v>731432.76</v>
      </c>
    </row>
    <row r="13" spans="1:5" x14ac:dyDescent="0.25">
      <c r="A13" s="199"/>
      <c r="B13" s="188" t="s">
        <v>99</v>
      </c>
      <c r="C13" s="140" t="s">
        <v>100</v>
      </c>
      <c r="D13" s="183">
        <v>498644.73</v>
      </c>
      <c r="E13" s="183">
        <v>498644.73</v>
      </c>
    </row>
    <row r="14" spans="1:5" x14ac:dyDescent="0.25">
      <c r="A14" s="199"/>
      <c r="B14" s="189"/>
      <c r="C14" s="141" t="s">
        <v>101</v>
      </c>
      <c r="D14" s="184"/>
      <c r="E14" s="184"/>
    </row>
    <row r="15" spans="1:5" ht="22.5" customHeight="1" x14ac:dyDescent="0.25">
      <c r="A15" s="199"/>
      <c r="B15" s="189"/>
      <c r="C15" s="141" t="s">
        <v>102</v>
      </c>
      <c r="D15" s="184"/>
      <c r="E15" s="184"/>
    </row>
    <row r="16" spans="1:5" ht="22.5" customHeight="1" thickBot="1" x14ac:dyDescent="0.3">
      <c r="A16" s="199"/>
      <c r="B16" s="189"/>
      <c r="C16" s="139" t="s">
        <v>103</v>
      </c>
      <c r="D16" s="185"/>
      <c r="E16" s="185"/>
    </row>
    <row r="17" spans="1:1069" x14ac:dyDescent="0.25">
      <c r="A17" s="199"/>
      <c r="B17" s="188" t="s">
        <v>87</v>
      </c>
      <c r="C17" s="140" t="s">
        <v>104</v>
      </c>
      <c r="D17" s="183">
        <v>26235.37</v>
      </c>
      <c r="E17" s="143">
        <v>8043.4100000000017</v>
      </c>
    </row>
    <row r="18" spans="1:1069" x14ac:dyDescent="0.25">
      <c r="A18" s="199"/>
      <c r="B18" s="189"/>
      <c r="C18" s="141" t="s">
        <v>105</v>
      </c>
      <c r="D18" s="184"/>
      <c r="E18" s="145">
        <v>6500</v>
      </c>
    </row>
    <row r="19" spans="1:1069" ht="17.25" customHeight="1" x14ac:dyDescent="0.25">
      <c r="A19" s="199"/>
      <c r="B19" s="189"/>
      <c r="C19" s="141" t="s">
        <v>106</v>
      </c>
      <c r="D19" s="184"/>
      <c r="E19" s="145">
        <v>0</v>
      </c>
    </row>
    <row r="20" spans="1:1069" x14ac:dyDescent="0.25">
      <c r="A20" s="199"/>
      <c r="B20" s="189"/>
      <c r="C20" s="141" t="s">
        <v>107</v>
      </c>
      <c r="D20" s="184"/>
      <c r="E20" s="145">
        <v>5321.8600000000006</v>
      </c>
    </row>
    <row r="21" spans="1:1069" x14ac:dyDescent="0.25">
      <c r="A21" s="199"/>
      <c r="B21" s="189"/>
      <c r="C21" s="146" t="s">
        <v>108</v>
      </c>
      <c r="D21" s="184"/>
      <c r="E21" s="145">
        <v>6370.1000000000022</v>
      </c>
    </row>
    <row r="22" spans="1:1069" ht="15.75" thickBot="1" x14ac:dyDescent="0.3">
      <c r="A22" s="199"/>
      <c r="B22" s="190"/>
      <c r="C22" s="147" t="s">
        <v>109</v>
      </c>
      <c r="D22" s="185"/>
      <c r="E22" s="149">
        <v>0</v>
      </c>
    </row>
    <row r="23" spans="1:1069" x14ac:dyDescent="0.25">
      <c r="A23" s="199"/>
      <c r="B23" s="191" t="s">
        <v>110</v>
      </c>
      <c r="C23" s="151" t="s">
        <v>109</v>
      </c>
      <c r="D23" s="186">
        <v>76244.789999999994</v>
      </c>
      <c r="E23" s="143">
        <v>63744.79</v>
      </c>
    </row>
    <row r="24" spans="1:1069" ht="15.75" thickBot="1" x14ac:dyDescent="0.3">
      <c r="A24" s="199"/>
      <c r="B24" s="192"/>
      <c r="C24" s="147" t="s">
        <v>103</v>
      </c>
      <c r="D24" s="187"/>
      <c r="E24" s="149">
        <v>12500</v>
      </c>
    </row>
    <row r="25" spans="1:1069" ht="15.75" thickBot="1" x14ac:dyDescent="0.3">
      <c r="A25" s="199"/>
      <c r="B25" s="152" t="s">
        <v>111</v>
      </c>
      <c r="C25" s="153" t="s">
        <v>109</v>
      </c>
      <c r="D25" s="168">
        <v>53404.6</v>
      </c>
      <c r="E25" s="154">
        <v>53404.6</v>
      </c>
    </row>
    <row r="26" spans="1:1069" ht="15.75" thickBot="1" x14ac:dyDescent="0.3">
      <c r="A26" s="199"/>
      <c r="B26" s="152" t="s">
        <v>112</v>
      </c>
      <c r="C26" s="153" t="s">
        <v>109</v>
      </c>
      <c r="D26" s="168">
        <v>30000.400000000001</v>
      </c>
      <c r="E26" s="154">
        <v>30000.400000000001</v>
      </c>
    </row>
    <row r="27" spans="1:1069" ht="15.75" thickBot="1" x14ac:dyDescent="0.3">
      <c r="A27" s="199"/>
      <c r="B27" s="152" t="s">
        <v>113</v>
      </c>
      <c r="C27" s="153" t="s">
        <v>114</v>
      </c>
      <c r="D27" s="168">
        <v>2118</v>
      </c>
      <c r="E27" s="154">
        <v>2118</v>
      </c>
    </row>
    <row r="28" spans="1:1069" s="160" customFormat="1" x14ac:dyDescent="0.25">
      <c r="A28" s="199"/>
      <c r="B28" s="193" t="s">
        <v>115</v>
      </c>
      <c r="C28" s="155" t="s">
        <v>116</v>
      </c>
      <c r="D28" s="195">
        <v>2100</v>
      </c>
      <c r="E28" s="158">
        <v>0</v>
      </c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127"/>
      <c r="AI28" s="127"/>
      <c r="AJ28" s="127"/>
      <c r="AK28" s="127"/>
      <c r="AL28" s="127"/>
      <c r="AM28" s="127"/>
      <c r="AN28" s="127"/>
      <c r="AO28" s="127"/>
      <c r="AP28" s="127"/>
      <c r="AQ28" s="127"/>
      <c r="AR28" s="127"/>
      <c r="AS28" s="127"/>
      <c r="AT28" s="127"/>
      <c r="AU28" s="127"/>
      <c r="AV28" s="127"/>
      <c r="AW28" s="127"/>
      <c r="AX28" s="127"/>
      <c r="AY28" s="127"/>
      <c r="AZ28" s="127"/>
      <c r="BA28" s="127"/>
      <c r="BB28" s="127"/>
      <c r="BC28" s="127"/>
      <c r="BD28" s="127"/>
      <c r="BE28" s="127"/>
      <c r="BF28" s="127"/>
      <c r="BG28" s="127"/>
      <c r="BH28" s="127"/>
      <c r="BI28" s="127"/>
      <c r="BJ28" s="127"/>
      <c r="BK28" s="127"/>
      <c r="BL28" s="127"/>
      <c r="BM28" s="127"/>
      <c r="BN28" s="127"/>
      <c r="BO28" s="127"/>
      <c r="BP28" s="127"/>
      <c r="BQ28" s="127"/>
      <c r="BR28" s="127"/>
      <c r="BS28" s="127"/>
      <c r="BT28" s="127"/>
      <c r="BU28" s="127"/>
      <c r="BV28" s="127"/>
      <c r="BW28" s="127"/>
      <c r="BX28" s="127"/>
      <c r="BY28" s="127"/>
      <c r="BZ28" s="127"/>
      <c r="CA28" s="127"/>
      <c r="CB28" s="127"/>
      <c r="CC28" s="127"/>
      <c r="CD28" s="127"/>
      <c r="CE28" s="127"/>
      <c r="CF28" s="127"/>
      <c r="CG28" s="127"/>
      <c r="CH28" s="127"/>
      <c r="CI28" s="127"/>
      <c r="CJ28" s="127"/>
      <c r="CK28" s="127"/>
      <c r="CL28" s="127"/>
      <c r="CM28" s="127"/>
      <c r="CN28" s="127"/>
      <c r="CO28" s="127"/>
      <c r="CP28" s="127"/>
      <c r="CQ28" s="127"/>
      <c r="CR28" s="127"/>
      <c r="CS28" s="127"/>
      <c r="CT28" s="127"/>
      <c r="CU28" s="127"/>
      <c r="CV28" s="127"/>
      <c r="CW28" s="127"/>
      <c r="CX28" s="127"/>
      <c r="CY28" s="127"/>
      <c r="CZ28" s="127"/>
      <c r="DA28" s="127"/>
      <c r="DB28" s="127"/>
      <c r="DC28" s="127"/>
      <c r="DD28" s="127"/>
      <c r="DE28" s="127"/>
      <c r="DF28" s="127"/>
      <c r="DG28" s="127"/>
      <c r="DH28" s="127"/>
      <c r="DI28" s="127"/>
      <c r="DJ28" s="127"/>
      <c r="DK28" s="127"/>
      <c r="DL28" s="127"/>
      <c r="DM28" s="127"/>
      <c r="DN28" s="127"/>
      <c r="DO28" s="127"/>
      <c r="DP28" s="127"/>
      <c r="DQ28" s="127"/>
      <c r="DR28" s="127"/>
      <c r="DS28" s="127"/>
      <c r="DT28" s="127"/>
      <c r="DU28" s="127"/>
      <c r="DV28" s="127"/>
      <c r="DW28" s="127"/>
      <c r="DX28" s="127"/>
      <c r="DY28" s="127"/>
      <c r="DZ28" s="127"/>
      <c r="EA28" s="127"/>
      <c r="EB28" s="127"/>
      <c r="EC28" s="127"/>
      <c r="ED28" s="127"/>
      <c r="EE28" s="127"/>
      <c r="EF28" s="127"/>
      <c r="EG28" s="127"/>
      <c r="EH28" s="127"/>
      <c r="EI28" s="127"/>
      <c r="EJ28" s="127"/>
      <c r="EK28" s="127"/>
      <c r="EL28" s="127"/>
      <c r="EM28" s="127"/>
      <c r="EN28" s="127"/>
      <c r="EO28" s="127"/>
      <c r="EP28" s="127"/>
      <c r="EQ28" s="127"/>
      <c r="ER28" s="127"/>
      <c r="ES28" s="127"/>
      <c r="ET28" s="127"/>
      <c r="EU28" s="127"/>
      <c r="EV28" s="127"/>
      <c r="EW28" s="127"/>
      <c r="EX28" s="127"/>
      <c r="EY28" s="127"/>
      <c r="EZ28" s="127"/>
      <c r="FA28" s="127"/>
      <c r="FB28" s="127"/>
      <c r="FC28" s="127"/>
      <c r="FD28" s="127"/>
      <c r="FE28" s="127"/>
      <c r="FF28" s="127"/>
      <c r="FG28" s="127"/>
      <c r="FH28" s="127"/>
      <c r="FI28" s="127"/>
      <c r="FJ28" s="127"/>
      <c r="FK28" s="127"/>
      <c r="FL28" s="127"/>
      <c r="FM28" s="127"/>
      <c r="FN28" s="127"/>
      <c r="FO28" s="127"/>
      <c r="FP28" s="127"/>
      <c r="FQ28" s="127"/>
      <c r="FR28" s="127"/>
      <c r="FS28" s="127"/>
      <c r="FT28" s="127"/>
      <c r="FU28" s="127"/>
      <c r="FV28" s="127"/>
      <c r="FW28" s="127"/>
      <c r="FX28" s="127"/>
      <c r="FY28" s="127"/>
      <c r="FZ28" s="127"/>
      <c r="GA28" s="127"/>
      <c r="GB28" s="127"/>
      <c r="GC28" s="127"/>
      <c r="GD28" s="127"/>
      <c r="GE28" s="127"/>
      <c r="GF28" s="127"/>
      <c r="GG28" s="127"/>
      <c r="GH28" s="127"/>
      <c r="GI28" s="127"/>
      <c r="GJ28" s="127"/>
      <c r="GK28" s="127"/>
      <c r="GL28" s="127"/>
      <c r="GM28" s="127"/>
      <c r="GN28" s="127"/>
      <c r="GO28" s="127"/>
      <c r="GP28" s="127"/>
      <c r="GQ28" s="127"/>
      <c r="GR28" s="127"/>
      <c r="GS28" s="127"/>
      <c r="GT28" s="127"/>
      <c r="GU28" s="127"/>
      <c r="GV28" s="127"/>
      <c r="GW28" s="127"/>
      <c r="GX28" s="127"/>
      <c r="GY28" s="127"/>
      <c r="GZ28" s="127"/>
      <c r="HA28" s="127"/>
      <c r="HB28" s="127"/>
      <c r="HC28" s="127"/>
      <c r="HD28" s="127"/>
      <c r="HE28" s="127"/>
      <c r="HF28" s="127"/>
      <c r="HG28" s="127"/>
      <c r="HH28" s="127"/>
      <c r="HI28" s="127"/>
      <c r="HJ28" s="127"/>
      <c r="HK28" s="127"/>
      <c r="HL28" s="127"/>
      <c r="HM28" s="127"/>
      <c r="HN28" s="127"/>
      <c r="HO28" s="127"/>
      <c r="HP28" s="127"/>
      <c r="HQ28" s="127"/>
      <c r="HR28" s="127"/>
      <c r="HS28" s="127"/>
      <c r="HT28" s="127"/>
      <c r="HU28" s="127"/>
      <c r="HV28" s="127"/>
      <c r="HW28" s="127"/>
      <c r="HX28" s="127"/>
      <c r="HY28" s="127"/>
      <c r="HZ28" s="127"/>
      <c r="IA28" s="127"/>
      <c r="IB28" s="127"/>
      <c r="IC28" s="127"/>
      <c r="ID28" s="127"/>
      <c r="IE28" s="127"/>
      <c r="IF28" s="127"/>
      <c r="IG28" s="127"/>
      <c r="IH28" s="127"/>
      <c r="II28" s="127"/>
      <c r="IJ28" s="127"/>
      <c r="IK28" s="127"/>
      <c r="IL28" s="127"/>
      <c r="IM28" s="127"/>
      <c r="IN28" s="127"/>
      <c r="IO28" s="127"/>
      <c r="IP28" s="127"/>
      <c r="IQ28" s="127"/>
      <c r="IR28" s="127"/>
      <c r="IS28" s="127"/>
      <c r="IT28" s="127"/>
      <c r="IU28" s="127"/>
      <c r="IV28" s="127"/>
      <c r="IW28" s="127"/>
      <c r="IX28" s="127"/>
      <c r="IY28" s="127"/>
      <c r="IZ28" s="127"/>
      <c r="JA28" s="127"/>
      <c r="JB28" s="127"/>
      <c r="JC28" s="127"/>
      <c r="JD28" s="127"/>
      <c r="JE28" s="127"/>
      <c r="JF28" s="127"/>
      <c r="JG28" s="127"/>
      <c r="JH28" s="127"/>
      <c r="JI28" s="127"/>
      <c r="JJ28" s="127"/>
      <c r="JK28" s="127"/>
      <c r="JL28" s="127"/>
      <c r="JM28" s="127"/>
      <c r="JN28" s="127"/>
      <c r="JO28" s="127"/>
      <c r="JP28" s="127"/>
      <c r="JQ28" s="127"/>
      <c r="JR28" s="127"/>
      <c r="JS28" s="127"/>
      <c r="JT28" s="127"/>
      <c r="JU28" s="127"/>
      <c r="JV28" s="127"/>
      <c r="JW28" s="127"/>
      <c r="JX28" s="127"/>
      <c r="JY28" s="127"/>
      <c r="JZ28" s="127"/>
      <c r="KA28" s="127"/>
      <c r="KB28" s="127"/>
      <c r="KC28" s="127"/>
      <c r="KD28" s="127"/>
      <c r="KE28" s="127"/>
      <c r="KF28" s="127"/>
      <c r="KG28" s="127"/>
      <c r="KH28" s="127"/>
      <c r="KI28" s="127"/>
      <c r="KJ28" s="127"/>
      <c r="KK28" s="127"/>
      <c r="KL28" s="127"/>
      <c r="KM28" s="127"/>
      <c r="KN28" s="127"/>
      <c r="KO28" s="127"/>
      <c r="KP28" s="127"/>
      <c r="KQ28" s="127"/>
      <c r="KR28" s="127"/>
      <c r="KS28" s="127"/>
      <c r="KT28" s="127"/>
      <c r="KU28" s="127"/>
      <c r="KV28" s="127"/>
      <c r="KW28" s="127"/>
      <c r="KX28" s="127"/>
      <c r="KY28" s="127"/>
      <c r="KZ28" s="127"/>
      <c r="LA28" s="127"/>
      <c r="LB28" s="127"/>
      <c r="LC28" s="127"/>
      <c r="LD28" s="127"/>
      <c r="LE28" s="127"/>
      <c r="LF28" s="127"/>
      <c r="LG28" s="127"/>
      <c r="LH28" s="127"/>
      <c r="LI28" s="127"/>
      <c r="LJ28" s="127"/>
      <c r="LK28" s="127"/>
      <c r="LL28" s="127"/>
      <c r="LM28" s="127"/>
      <c r="LN28" s="127"/>
      <c r="LO28" s="127"/>
      <c r="LP28" s="127"/>
      <c r="LQ28" s="127"/>
      <c r="LR28" s="127"/>
      <c r="LS28" s="127"/>
      <c r="LT28" s="127"/>
      <c r="LU28" s="127"/>
      <c r="LV28" s="127"/>
      <c r="LW28" s="127"/>
      <c r="LX28" s="127"/>
      <c r="LY28" s="127"/>
      <c r="LZ28" s="127"/>
      <c r="MA28" s="127"/>
      <c r="MB28" s="127"/>
      <c r="MC28" s="127"/>
      <c r="MD28" s="127"/>
      <c r="ME28" s="127"/>
      <c r="MF28" s="127"/>
      <c r="MG28" s="127"/>
      <c r="MH28" s="127"/>
      <c r="MI28" s="127"/>
      <c r="MJ28" s="127"/>
      <c r="MK28" s="127"/>
      <c r="ML28" s="127"/>
      <c r="MM28" s="127"/>
      <c r="MN28" s="127"/>
      <c r="MO28" s="127"/>
      <c r="MP28" s="127"/>
      <c r="MQ28" s="127"/>
      <c r="MR28" s="127"/>
      <c r="MS28" s="127"/>
      <c r="MT28" s="127"/>
      <c r="MU28" s="127"/>
      <c r="MV28" s="127"/>
      <c r="MW28" s="127"/>
      <c r="MX28" s="127"/>
      <c r="MY28" s="127"/>
      <c r="MZ28" s="127"/>
      <c r="NA28" s="127"/>
      <c r="NB28" s="127"/>
      <c r="NC28" s="127"/>
      <c r="ND28" s="127"/>
      <c r="NE28" s="127"/>
      <c r="NF28" s="127"/>
      <c r="NG28" s="127"/>
      <c r="NH28" s="127"/>
      <c r="NI28" s="127"/>
      <c r="NJ28" s="127"/>
      <c r="NK28" s="127"/>
      <c r="NL28" s="127"/>
      <c r="NM28" s="127"/>
      <c r="NN28" s="127"/>
      <c r="NO28" s="127"/>
      <c r="NP28" s="127"/>
      <c r="NQ28" s="127"/>
      <c r="NR28" s="127"/>
      <c r="NS28" s="127"/>
      <c r="NT28" s="127"/>
      <c r="NU28" s="127"/>
      <c r="NV28" s="127"/>
      <c r="NW28" s="127"/>
      <c r="NX28" s="127"/>
      <c r="NY28" s="127"/>
      <c r="NZ28" s="127"/>
      <c r="OA28" s="127"/>
      <c r="OB28" s="127"/>
      <c r="OC28" s="127"/>
      <c r="OD28" s="127"/>
      <c r="OE28" s="127"/>
      <c r="OF28" s="127"/>
      <c r="OG28" s="127"/>
      <c r="OH28" s="127"/>
      <c r="OI28" s="127"/>
      <c r="OJ28" s="127"/>
      <c r="OK28" s="127"/>
      <c r="OL28" s="127"/>
      <c r="OM28" s="127"/>
      <c r="ON28" s="127"/>
      <c r="OO28" s="127"/>
      <c r="OP28" s="127"/>
      <c r="OQ28" s="127"/>
      <c r="OR28" s="127"/>
      <c r="OS28" s="127"/>
      <c r="OT28" s="127"/>
      <c r="OU28" s="127"/>
      <c r="OV28" s="127"/>
      <c r="OW28" s="127"/>
      <c r="OX28" s="127"/>
      <c r="OY28" s="127"/>
      <c r="OZ28" s="127"/>
      <c r="PA28" s="127"/>
      <c r="PB28" s="127"/>
      <c r="PC28" s="127"/>
      <c r="PD28" s="127"/>
      <c r="PE28" s="127"/>
      <c r="PF28" s="127"/>
      <c r="PG28" s="127"/>
      <c r="PH28" s="127"/>
      <c r="PI28" s="127"/>
      <c r="PJ28" s="127"/>
      <c r="PK28" s="127"/>
      <c r="PL28" s="127"/>
      <c r="PM28" s="127"/>
      <c r="PN28" s="127"/>
      <c r="PO28" s="127"/>
      <c r="PP28" s="127"/>
      <c r="PQ28" s="127"/>
      <c r="PR28" s="127"/>
      <c r="PS28" s="127"/>
      <c r="PT28" s="127"/>
      <c r="PU28" s="127"/>
      <c r="PV28" s="127"/>
      <c r="PW28" s="127"/>
      <c r="PX28" s="127"/>
      <c r="PY28" s="127"/>
      <c r="PZ28" s="127"/>
      <c r="QA28" s="127"/>
      <c r="QB28" s="127"/>
      <c r="QC28" s="127"/>
      <c r="QD28" s="127"/>
      <c r="QE28" s="127"/>
      <c r="QF28" s="127"/>
      <c r="QG28" s="127"/>
      <c r="QH28" s="127"/>
      <c r="QI28" s="127"/>
      <c r="QJ28" s="127"/>
      <c r="QK28" s="127"/>
      <c r="QL28" s="127"/>
      <c r="QM28" s="127"/>
      <c r="QN28" s="127"/>
      <c r="QO28" s="127"/>
      <c r="QP28" s="127"/>
      <c r="QQ28" s="127"/>
      <c r="QR28" s="127"/>
      <c r="QS28" s="127"/>
      <c r="QT28" s="127"/>
      <c r="QU28" s="127"/>
      <c r="QV28" s="127"/>
      <c r="QW28" s="127"/>
      <c r="QX28" s="127"/>
      <c r="QY28" s="127"/>
      <c r="QZ28" s="127"/>
      <c r="RA28" s="127"/>
      <c r="RB28" s="127"/>
      <c r="RC28" s="127"/>
      <c r="RD28" s="127"/>
      <c r="RE28" s="127"/>
      <c r="RF28" s="127"/>
      <c r="RG28" s="127"/>
      <c r="RH28" s="127"/>
      <c r="RI28" s="127"/>
      <c r="RJ28" s="127"/>
      <c r="RK28" s="127"/>
      <c r="RL28" s="127"/>
      <c r="RM28" s="127"/>
      <c r="RN28" s="127"/>
      <c r="RO28" s="127"/>
      <c r="RP28" s="127"/>
      <c r="RQ28" s="127"/>
      <c r="RR28" s="127"/>
      <c r="RS28" s="127"/>
      <c r="RT28" s="127"/>
      <c r="RU28" s="127"/>
      <c r="RV28" s="127"/>
      <c r="RW28" s="127"/>
      <c r="RX28" s="127"/>
      <c r="RY28" s="127"/>
      <c r="RZ28" s="127"/>
      <c r="SA28" s="127"/>
      <c r="SB28" s="127"/>
      <c r="SC28" s="127"/>
      <c r="SD28" s="127"/>
      <c r="SE28" s="127"/>
      <c r="SF28" s="127"/>
      <c r="SG28" s="127"/>
      <c r="SH28" s="127"/>
      <c r="SI28" s="127"/>
      <c r="SJ28" s="127"/>
      <c r="SK28" s="127"/>
      <c r="SL28" s="127"/>
      <c r="SM28" s="127"/>
      <c r="SN28" s="127"/>
      <c r="SO28" s="127"/>
      <c r="SP28" s="127"/>
      <c r="SQ28" s="127"/>
      <c r="SR28" s="127"/>
      <c r="SS28" s="127"/>
      <c r="ST28" s="127"/>
      <c r="SU28" s="127"/>
      <c r="SV28" s="127"/>
      <c r="SW28" s="127"/>
      <c r="SX28" s="127"/>
      <c r="SY28" s="127"/>
      <c r="SZ28" s="127"/>
      <c r="TA28" s="127"/>
      <c r="TB28" s="127"/>
      <c r="TC28" s="127"/>
      <c r="TD28" s="127"/>
      <c r="TE28" s="127"/>
      <c r="TF28" s="127"/>
      <c r="TG28" s="127"/>
      <c r="TH28" s="127"/>
      <c r="TI28" s="127"/>
      <c r="TJ28" s="127"/>
      <c r="TK28" s="127"/>
      <c r="TL28" s="127"/>
      <c r="TM28" s="127"/>
      <c r="TN28" s="127"/>
      <c r="TO28" s="127"/>
      <c r="TP28" s="127"/>
      <c r="TQ28" s="127"/>
      <c r="TR28" s="127"/>
      <c r="TS28" s="127"/>
      <c r="TT28" s="127"/>
      <c r="TU28" s="127"/>
      <c r="TV28" s="127"/>
      <c r="TW28" s="127"/>
      <c r="TX28" s="127"/>
      <c r="TY28" s="127"/>
      <c r="TZ28" s="127"/>
      <c r="UA28" s="127"/>
      <c r="UB28" s="127"/>
      <c r="UC28" s="127"/>
      <c r="UD28" s="127"/>
      <c r="UE28" s="127"/>
      <c r="UF28" s="127"/>
      <c r="UG28" s="127"/>
      <c r="UH28" s="127"/>
      <c r="UI28" s="127"/>
      <c r="UJ28" s="127"/>
      <c r="UK28" s="127"/>
      <c r="UL28" s="127"/>
      <c r="UM28" s="127"/>
      <c r="UN28" s="127"/>
      <c r="UO28" s="127"/>
      <c r="UP28" s="127"/>
      <c r="UQ28" s="127"/>
      <c r="UR28" s="127"/>
      <c r="US28" s="127"/>
      <c r="UT28" s="127"/>
      <c r="UU28" s="127"/>
      <c r="UV28" s="127"/>
      <c r="UW28" s="127"/>
      <c r="UX28" s="127"/>
      <c r="UY28" s="127"/>
      <c r="UZ28" s="127"/>
      <c r="VA28" s="127"/>
      <c r="VB28" s="127"/>
      <c r="VC28" s="127"/>
      <c r="VD28" s="127"/>
      <c r="VE28" s="127"/>
      <c r="VF28" s="127"/>
      <c r="VG28" s="127"/>
      <c r="VH28" s="127"/>
      <c r="VI28" s="127"/>
      <c r="VJ28" s="127"/>
      <c r="VK28" s="127"/>
      <c r="VL28" s="127"/>
      <c r="VM28" s="127"/>
      <c r="VN28" s="127"/>
      <c r="VO28" s="127"/>
      <c r="VP28" s="127"/>
      <c r="VQ28" s="127"/>
      <c r="VR28" s="127"/>
      <c r="VS28" s="127"/>
      <c r="VT28" s="127"/>
      <c r="VU28" s="127"/>
      <c r="VV28" s="127"/>
      <c r="VW28" s="127"/>
      <c r="VX28" s="127"/>
      <c r="VY28" s="127"/>
      <c r="VZ28" s="127"/>
      <c r="WA28" s="127"/>
      <c r="WB28" s="127"/>
      <c r="WC28" s="127"/>
      <c r="WD28" s="127"/>
      <c r="WE28" s="127"/>
      <c r="WF28" s="127"/>
      <c r="WG28" s="127"/>
      <c r="WH28" s="127"/>
      <c r="WI28" s="127"/>
      <c r="WJ28" s="127"/>
      <c r="WK28" s="127"/>
      <c r="WL28" s="127"/>
      <c r="WM28" s="127"/>
      <c r="WN28" s="127"/>
      <c r="WO28" s="127"/>
      <c r="WP28" s="127"/>
      <c r="WQ28" s="127"/>
      <c r="WR28" s="127"/>
      <c r="WS28" s="127"/>
      <c r="WT28" s="127"/>
      <c r="WU28" s="127"/>
      <c r="WV28" s="127"/>
      <c r="WW28" s="127"/>
      <c r="WX28" s="127"/>
      <c r="WY28" s="127"/>
      <c r="WZ28" s="127"/>
      <c r="XA28" s="127"/>
      <c r="XB28" s="127"/>
      <c r="XC28" s="127"/>
      <c r="XD28" s="127"/>
      <c r="XE28" s="127"/>
      <c r="XF28" s="127"/>
      <c r="XG28" s="127"/>
      <c r="XH28" s="127"/>
      <c r="XI28" s="127"/>
      <c r="XJ28" s="127"/>
      <c r="XK28" s="127"/>
      <c r="XL28" s="127"/>
      <c r="XM28" s="127"/>
      <c r="XN28" s="127"/>
      <c r="XO28" s="127"/>
      <c r="XP28" s="127"/>
      <c r="XQ28" s="127"/>
      <c r="XR28" s="127"/>
      <c r="XS28" s="127"/>
      <c r="XT28" s="127"/>
      <c r="XU28" s="127"/>
      <c r="XV28" s="127"/>
      <c r="XW28" s="127"/>
      <c r="XX28" s="127"/>
      <c r="XY28" s="127"/>
      <c r="XZ28" s="127"/>
      <c r="YA28" s="127"/>
      <c r="YB28" s="127"/>
      <c r="YC28" s="127"/>
      <c r="YD28" s="127"/>
      <c r="YE28" s="127"/>
      <c r="YF28" s="127"/>
      <c r="YG28" s="127"/>
      <c r="YH28" s="127"/>
      <c r="YI28" s="127"/>
      <c r="YJ28" s="127"/>
      <c r="YK28" s="127"/>
      <c r="YL28" s="127"/>
      <c r="YM28" s="127"/>
      <c r="YN28" s="127"/>
      <c r="YO28" s="127"/>
      <c r="YP28" s="127"/>
      <c r="YQ28" s="127"/>
      <c r="YR28" s="127"/>
      <c r="YS28" s="127"/>
      <c r="YT28" s="127"/>
      <c r="YU28" s="127"/>
      <c r="YV28" s="127"/>
      <c r="YW28" s="127"/>
      <c r="YX28" s="127"/>
      <c r="YY28" s="127"/>
      <c r="YZ28" s="127"/>
      <c r="ZA28" s="127"/>
      <c r="ZB28" s="127"/>
      <c r="ZC28" s="127"/>
      <c r="ZD28" s="127"/>
      <c r="ZE28" s="127"/>
      <c r="ZF28" s="127"/>
      <c r="ZG28" s="127"/>
      <c r="ZH28" s="127"/>
      <c r="ZI28" s="127"/>
      <c r="ZJ28" s="127"/>
      <c r="ZK28" s="127"/>
      <c r="ZL28" s="127"/>
      <c r="ZM28" s="127"/>
      <c r="ZN28" s="127"/>
      <c r="ZO28" s="127"/>
      <c r="ZP28" s="127"/>
      <c r="ZQ28" s="127"/>
      <c r="ZR28" s="127"/>
      <c r="ZS28" s="127"/>
      <c r="ZT28" s="127"/>
      <c r="ZU28" s="127"/>
      <c r="ZV28" s="127"/>
      <c r="ZW28" s="127"/>
      <c r="ZX28" s="127"/>
      <c r="ZY28" s="127"/>
      <c r="ZZ28" s="127"/>
      <c r="AAA28" s="127"/>
      <c r="AAB28" s="127"/>
      <c r="AAC28" s="127"/>
      <c r="AAD28" s="127"/>
      <c r="AAE28" s="127"/>
      <c r="AAF28" s="127"/>
      <c r="AAG28" s="127"/>
      <c r="AAH28" s="127"/>
      <c r="AAI28" s="127"/>
      <c r="AAJ28" s="127"/>
      <c r="AAK28" s="127"/>
      <c r="AAL28" s="127"/>
      <c r="AAM28" s="127"/>
      <c r="AAN28" s="127"/>
      <c r="AAO28" s="127"/>
      <c r="AAP28" s="127"/>
      <c r="AAQ28" s="127"/>
      <c r="AAR28" s="127"/>
      <c r="AAS28" s="127"/>
      <c r="AAT28" s="127"/>
      <c r="AAU28" s="127"/>
      <c r="AAV28" s="127"/>
      <c r="AAW28" s="127"/>
      <c r="AAX28" s="127"/>
      <c r="AAY28" s="127"/>
      <c r="AAZ28" s="127"/>
      <c r="ABA28" s="127"/>
      <c r="ABB28" s="127"/>
      <c r="ABC28" s="127"/>
      <c r="ABD28" s="127"/>
      <c r="ABE28" s="127"/>
      <c r="ABF28" s="127"/>
      <c r="ABG28" s="127"/>
      <c r="ABH28" s="127"/>
      <c r="ABI28" s="127"/>
      <c r="ABJ28" s="127"/>
      <c r="ABK28" s="127"/>
      <c r="ABL28" s="127"/>
      <c r="ABM28" s="127"/>
      <c r="ABN28" s="127"/>
      <c r="ABO28" s="127"/>
      <c r="ABP28" s="127"/>
      <c r="ABQ28" s="127"/>
      <c r="ABR28" s="127"/>
      <c r="ABS28" s="127"/>
      <c r="ABT28" s="127"/>
      <c r="ABU28" s="127"/>
      <c r="ABV28" s="127"/>
      <c r="ABW28" s="127"/>
      <c r="ABX28" s="127"/>
      <c r="ABY28" s="127"/>
      <c r="ABZ28" s="127"/>
      <c r="ACA28" s="127"/>
      <c r="ACB28" s="127"/>
      <c r="ACC28" s="127"/>
      <c r="ACD28" s="127"/>
      <c r="ACE28" s="127"/>
      <c r="ACF28" s="127"/>
      <c r="ACG28" s="127"/>
      <c r="ACH28" s="127"/>
      <c r="ACI28" s="127"/>
      <c r="ACJ28" s="127"/>
      <c r="ACK28" s="127"/>
      <c r="ACL28" s="127"/>
      <c r="ACM28" s="127"/>
      <c r="ACN28" s="127"/>
      <c r="ACO28" s="127"/>
      <c r="ACP28" s="127"/>
      <c r="ACQ28" s="127"/>
      <c r="ACR28" s="127"/>
      <c r="ACS28" s="127"/>
      <c r="ACT28" s="127"/>
      <c r="ACU28" s="127"/>
      <c r="ACV28" s="127"/>
      <c r="ACW28" s="127"/>
      <c r="ACX28" s="127"/>
      <c r="ACY28" s="127"/>
      <c r="ACZ28" s="127"/>
      <c r="ADA28" s="127"/>
      <c r="ADB28" s="127"/>
      <c r="ADC28" s="127"/>
      <c r="ADD28" s="127"/>
      <c r="ADE28" s="127"/>
      <c r="ADF28" s="127"/>
      <c r="ADG28" s="127"/>
      <c r="ADH28" s="127"/>
      <c r="ADI28" s="127"/>
      <c r="ADJ28" s="127"/>
      <c r="ADK28" s="127"/>
      <c r="ADL28" s="127"/>
      <c r="ADM28" s="127"/>
      <c r="ADN28" s="127"/>
      <c r="ADO28" s="127"/>
      <c r="ADP28" s="127"/>
      <c r="ADQ28" s="127"/>
      <c r="ADR28" s="127"/>
      <c r="ADS28" s="127"/>
      <c r="ADT28" s="127"/>
      <c r="ADU28" s="127"/>
      <c r="ADV28" s="127"/>
      <c r="ADW28" s="127"/>
      <c r="ADX28" s="127"/>
      <c r="ADY28" s="127"/>
      <c r="ADZ28" s="127"/>
      <c r="AEA28" s="127"/>
      <c r="AEB28" s="127"/>
      <c r="AEC28" s="127"/>
      <c r="AED28" s="127"/>
      <c r="AEE28" s="127"/>
      <c r="AEF28" s="127"/>
      <c r="AEG28" s="127"/>
      <c r="AEH28" s="127"/>
      <c r="AEI28" s="127"/>
      <c r="AEJ28" s="127"/>
      <c r="AEK28" s="127"/>
      <c r="AEL28" s="127"/>
      <c r="AEM28" s="127"/>
      <c r="AEN28" s="127"/>
      <c r="AEO28" s="127"/>
      <c r="AEP28" s="127"/>
      <c r="AEQ28" s="127"/>
      <c r="AER28" s="127"/>
      <c r="AES28" s="127"/>
      <c r="AET28" s="127"/>
      <c r="AEU28" s="127"/>
      <c r="AEV28" s="127"/>
      <c r="AEW28" s="127"/>
      <c r="AEX28" s="127"/>
      <c r="AEY28" s="127"/>
      <c r="AEZ28" s="127"/>
      <c r="AFA28" s="127"/>
      <c r="AFB28" s="127"/>
      <c r="AFC28" s="127"/>
      <c r="AFD28" s="127"/>
      <c r="AFE28" s="127"/>
      <c r="AFF28" s="127"/>
      <c r="AFG28" s="127"/>
      <c r="AFH28" s="127"/>
      <c r="AFI28" s="127"/>
      <c r="AFJ28" s="127"/>
      <c r="AFK28" s="127"/>
      <c r="AFL28" s="127"/>
      <c r="AFM28" s="127"/>
      <c r="AFN28" s="127"/>
      <c r="AFO28" s="127"/>
      <c r="AFP28" s="127"/>
      <c r="AFQ28" s="127"/>
      <c r="AFR28" s="127"/>
      <c r="AFS28" s="127"/>
      <c r="AFT28" s="127"/>
      <c r="AFU28" s="127"/>
      <c r="AFV28" s="127"/>
      <c r="AFW28" s="127"/>
      <c r="AFX28" s="127"/>
      <c r="AFY28" s="127"/>
      <c r="AFZ28" s="127"/>
      <c r="AGA28" s="127"/>
      <c r="AGB28" s="127"/>
      <c r="AGC28" s="127"/>
      <c r="AGD28" s="127"/>
      <c r="AGE28" s="127"/>
      <c r="AGF28" s="127"/>
      <c r="AGG28" s="127"/>
      <c r="AGH28" s="127"/>
      <c r="AGI28" s="127"/>
      <c r="AGJ28" s="127"/>
      <c r="AGK28" s="127"/>
      <c r="AGL28" s="127"/>
      <c r="AGM28" s="127"/>
      <c r="AGN28" s="127"/>
      <c r="AGO28" s="127"/>
      <c r="AGP28" s="127"/>
      <c r="AGQ28" s="127"/>
      <c r="AGR28" s="127"/>
      <c r="AGS28" s="127"/>
      <c r="AGT28" s="127"/>
      <c r="AGU28" s="127"/>
      <c r="AGV28" s="127"/>
      <c r="AGW28" s="127"/>
      <c r="AGX28" s="127"/>
      <c r="AGY28" s="127"/>
      <c r="AGZ28" s="127"/>
      <c r="AHA28" s="127"/>
      <c r="AHB28" s="127"/>
      <c r="AHC28" s="127"/>
      <c r="AHD28" s="127"/>
      <c r="AHE28" s="127"/>
      <c r="AHF28" s="127"/>
      <c r="AHG28" s="127"/>
      <c r="AHH28" s="127"/>
      <c r="AHI28" s="127"/>
      <c r="AHJ28" s="127"/>
      <c r="AHK28" s="127"/>
      <c r="AHL28" s="127"/>
      <c r="AHM28" s="127"/>
      <c r="AHN28" s="127"/>
      <c r="AHO28" s="127"/>
      <c r="AHP28" s="127"/>
      <c r="AHQ28" s="127"/>
      <c r="AHR28" s="127"/>
      <c r="AHS28" s="127"/>
      <c r="AHT28" s="127"/>
      <c r="AHU28" s="127"/>
      <c r="AHV28" s="127"/>
      <c r="AHW28" s="127"/>
      <c r="AHX28" s="127"/>
      <c r="AHY28" s="127"/>
      <c r="AHZ28" s="127"/>
      <c r="AIA28" s="127"/>
      <c r="AIB28" s="127"/>
      <c r="AIC28" s="127"/>
      <c r="AID28" s="127"/>
      <c r="AIE28" s="127"/>
      <c r="AIF28" s="127"/>
      <c r="AIG28" s="127"/>
      <c r="AIH28" s="127"/>
      <c r="AII28" s="127"/>
      <c r="AIJ28" s="127"/>
      <c r="AIK28" s="127"/>
      <c r="AIL28" s="127"/>
      <c r="AIM28" s="127"/>
      <c r="AIN28" s="127"/>
      <c r="AIO28" s="127"/>
      <c r="AIP28" s="127"/>
      <c r="AIQ28" s="127"/>
      <c r="AIR28" s="127"/>
      <c r="AIS28" s="127"/>
      <c r="AIT28" s="127"/>
      <c r="AIU28" s="127"/>
      <c r="AIV28" s="127"/>
      <c r="AIW28" s="127"/>
      <c r="AIX28" s="127"/>
      <c r="AIY28" s="127"/>
      <c r="AIZ28" s="127"/>
      <c r="AJA28" s="127"/>
      <c r="AJB28" s="127"/>
      <c r="AJC28" s="127"/>
      <c r="AJD28" s="127"/>
      <c r="AJE28" s="127"/>
      <c r="AJF28" s="127"/>
      <c r="AJG28" s="127"/>
      <c r="AJH28" s="127"/>
      <c r="AJI28" s="127"/>
      <c r="AJJ28" s="127"/>
      <c r="AJK28" s="127"/>
      <c r="AJL28" s="127"/>
      <c r="AJM28" s="127"/>
      <c r="AJN28" s="127"/>
      <c r="AJO28" s="127"/>
      <c r="AJP28" s="127"/>
      <c r="AJQ28" s="127"/>
      <c r="AJR28" s="127"/>
      <c r="AJS28" s="127"/>
      <c r="AJT28" s="127"/>
      <c r="AJU28" s="127"/>
      <c r="AJV28" s="127"/>
      <c r="AJW28" s="127"/>
      <c r="AJX28" s="127"/>
      <c r="AJY28" s="127"/>
      <c r="AJZ28" s="127"/>
      <c r="AKA28" s="127"/>
      <c r="AKB28" s="127"/>
      <c r="AKC28" s="127"/>
      <c r="AKD28" s="127"/>
      <c r="AKE28" s="127"/>
      <c r="AKF28" s="127"/>
      <c r="AKG28" s="127"/>
      <c r="AKH28" s="127"/>
      <c r="AKI28" s="127"/>
      <c r="AKJ28" s="127"/>
      <c r="AKK28" s="127"/>
      <c r="AKL28" s="127"/>
      <c r="AKM28" s="127"/>
      <c r="AKN28" s="127"/>
      <c r="AKO28" s="127"/>
      <c r="AKP28" s="127"/>
      <c r="AKQ28" s="127"/>
      <c r="AKR28" s="127"/>
      <c r="AKS28" s="127"/>
      <c r="AKT28" s="127"/>
      <c r="AKU28" s="127"/>
      <c r="AKV28" s="127"/>
      <c r="AKW28" s="127"/>
      <c r="AKX28" s="127"/>
      <c r="AKY28" s="127"/>
      <c r="AKZ28" s="127"/>
      <c r="ALA28" s="127"/>
      <c r="ALB28" s="127"/>
      <c r="ALC28" s="127"/>
      <c r="ALD28" s="127"/>
      <c r="ALE28" s="127"/>
      <c r="ALF28" s="127"/>
      <c r="ALG28" s="127"/>
      <c r="ALH28" s="127"/>
      <c r="ALI28" s="127"/>
      <c r="ALJ28" s="127"/>
      <c r="ALK28" s="127"/>
      <c r="ALL28" s="127"/>
      <c r="ALM28" s="127"/>
      <c r="ALN28" s="127"/>
      <c r="ALO28" s="127"/>
      <c r="ALP28" s="127"/>
      <c r="ALQ28" s="127"/>
      <c r="ALR28" s="127"/>
      <c r="ALS28" s="127"/>
      <c r="ALT28" s="127"/>
      <c r="ALU28" s="127"/>
      <c r="ALV28" s="127"/>
      <c r="ALW28" s="127"/>
      <c r="ALX28" s="127"/>
      <c r="ALY28" s="127"/>
      <c r="ALZ28" s="127"/>
      <c r="AMA28" s="127"/>
      <c r="AMB28" s="127"/>
      <c r="AMC28" s="127"/>
      <c r="AMD28" s="127"/>
      <c r="AME28" s="127"/>
      <c r="AMF28" s="127"/>
      <c r="AMG28" s="127"/>
      <c r="AMH28" s="127"/>
      <c r="AMI28" s="127"/>
      <c r="AMJ28" s="127"/>
      <c r="AMK28" s="127"/>
      <c r="AML28" s="127"/>
      <c r="AMM28" s="127"/>
      <c r="AMN28" s="127"/>
      <c r="AMO28" s="127"/>
      <c r="AMP28" s="127"/>
      <c r="AMQ28" s="127"/>
      <c r="AMR28" s="127"/>
      <c r="AMS28" s="127"/>
      <c r="AMT28" s="127"/>
      <c r="AMU28" s="127"/>
      <c r="AMV28" s="127"/>
      <c r="AMW28" s="127"/>
      <c r="AMX28" s="127"/>
      <c r="AMY28" s="127"/>
      <c r="AMZ28" s="127"/>
      <c r="ANA28" s="127"/>
      <c r="ANB28" s="127"/>
      <c r="ANC28" s="127"/>
      <c r="AND28" s="127"/>
      <c r="ANE28" s="127"/>
      <c r="ANF28" s="127"/>
      <c r="ANG28" s="127"/>
      <c r="ANH28" s="127"/>
      <c r="ANI28" s="127"/>
      <c r="ANJ28" s="127"/>
      <c r="ANK28" s="127"/>
      <c r="ANL28" s="127"/>
      <c r="ANM28" s="127"/>
      <c r="ANN28" s="127"/>
      <c r="ANO28" s="127"/>
      <c r="ANP28" s="127"/>
      <c r="ANQ28" s="127"/>
      <c r="ANR28" s="127"/>
      <c r="ANS28" s="127"/>
      <c r="ANT28" s="127"/>
      <c r="ANU28" s="127"/>
      <c r="ANV28" s="127"/>
      <c r="ANW28" s="127"/>
      <c r="ANX28" s="127"/>
      <c r="ANY28" s="127"/>
      <c r="ANZ28" s="127"/>
      <c r="AOA28" s="127"/>
      <c r="AOB28" s="127"/>
      <c r="AOC28" s="127"/>
    </row>
    <row r="29" spans="1:1069" x14ac:dyDescent="0.25">
      <c r="A29" s="199"/>
      <c r="B29" s="193"/>
      <c r="C29" s="146" t="s">
        <v>114</v>
      </c>
      <c r="D29" s="196"/>
      <c r="E29" s="145">
        <v>845</v>
      </c>
    </row>
    <row r="30" spans="1:1069" x14ac:dyDescent="0.25">
      <c r="A30" s="199"/>
      <c r="B30" s="193"/>
      <c r="C30" s="146" t="s">
        <v>117</v>
      </c>
      <c r="D30" s="196"/>
      <c r="E30" s="145">
        <v>250</v>
      </c>
    </row>
    <row r="31" spans="1:1069" x14ac:dyDescent="0.25">
      <c r="A31" s="199"/>
      <c r="B31" s="193"/>
      <c r="C31" s="146" t="s">
        <v>118</v>
      </c>
      <c r="D31" s="196"/>
      <c r="E31" s="145">
        <v>200</v>
      </c>
    </row>
    <row r="32" spans="1:1069" x14ac:dyDescent="0.25">
      <c r="A32" s="199"/>
      <c r="B32" s="193"/>
      <c r="C32" s="146" t="s">
        <v>119</v>
      </c>
      <c r="D32" s="196"/>
      <c r="E32" s="145">
        <v>90</v>
      </c>
    </row>
    <row r="33" spans="1:1069" x14ac:dyDescent="0.25">
      <c r="A33" s="199"/>
      <c r="B33" s="193"/>
      <c r="C33" s="146" t="s">
        <v>107</v>
      </c>
      <c r="D33" s="196"/>
      <c r="E33" s="145">
        <v>715</v>
      </c>
    </row>
    <row r="34" spans="1:1069" x14ac:dyDescent="0.25">
      <c r="A34" s="199"/>
      <c r="B34" s="193"/>
      <c r="C34" s="146" t="s">
        <v>120</v>
      </c>
      <c r="D34" s="196"/>
      <c r="E34" s="145">
        <v>0</v>
      </c>
    </row>
    <row r="35" spans="1:1069" s="161" customFormat="1" ht="15.75" thickBot="1" x14ac:dyDescent="0.3">
      <c r="A35" s="199"/>
      <c r="B35" s="194"/>
      <c r="C35" s="147" t="s">
        <v>121</v>
      </c>
      <c r="D35" s="197"/>
      <c r="E35" s="149">
        <v>0</v>
      </c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127"/>
      <c r="AU35" s="127"/>
      <c r="AV35" s="127"/>
      <c r="AW35" s="127"/>
      <c r="AX35" s="127"/>
      <c r="AY35" s="127"/>
      <c r="AZ35" s="127"/>
      <c r="BA35" s="127"/>
      <c r="BB35" s="127"/>
      <c r="BC35" s="127"/>
      <c r="BD35" s="127"/>
      <c r="BE35" s="127"/>
      <c r="BF35" s="127"/>
      <c r="BG35" s="127"/>
      <c r="BH35" s="127"/>
      <c r="BI35" s="127"/>
      <c r="BJ35" s="127"/>
      <c r="BK35" s="127"/>
      <c r="BL35" s="127"/>
      <c r="BM35" s="127"/>
      <c r="BN35" s="127"/>
      <c r="BO35" s="127"/>
      <c r="BP35" s="127"/>
      <c r="BQ35" s="127"/>
      <c r="BR35" s="127"/>
      <c r="BS35" s="127"/>
      <c r="BT35" s="127"/>
      <c r="BU35" s="127"/>
      <c r="BV35" s="127"/>
      <c r="BW35" s="127"/>
      <c r="BX35" s="127"/>
      <c r="BY35" s="127"/>
      <c r="BZ35" s="127"/>
      <c r="CA35" s="127"/>
      <c r="CB35" s="127"/>
      <c r="CC35" s="127"/>
      <c r="CD35" s="127"/>
      <c r="CE35" s="127"/>
      <c r="CF35" s="127"/>
      <c r="CG35" s="127"/>
      <c r="CH35" s="127"/>
      <c r="CI35" s="127"/>
      <c r="CJ35" s="127"/>
      <c r="CK35" s="127"/>
      <c r="CL35" s="127"/>
      <c r="CM35" s="127"/>
      <c r="CN35" s="127"/>
      <c r="CO35" s="127"/>
      <c r="CP35" s="127"/>
      <c r="CQ35" s="127"/>
      <c r="CR35" s="127"/>
      <c r="CS35" s="127"/>
      <c r="CT35" s="127"/>
      <c r="CU35" s="127"/>
      <c r="CV35" s="127"/>
      <c r="CW35" s="127"/>
      <c r="CX35" s="127"/>
      <c r="CY35" s="127"/>
      <c r="CZ35" s="127"/>
      <c r="DA35" s="127"/>
      <c r="DB35" s="127"/>
      <c r="DC35" s="127"/>
      <c r="DD35" s="127"/>
      <c r="DE35" s="127"/>
      <c r="DF35" s="127"/>
      <c r="DG35" s="127"/>
      <c r="DH35" s="127"/>
      <c r="DI35" s="127"/>
      <c r="DJ35" s="127"/>
      <c r="DK35" s="127"/>
      <c r="DL35" s="127"/>
      <c r="DM35" s="127"/>
      <c r="DN35" s="127"/>
      <c r="DO35" s="127"/>
      <c r="DP35" s="127"/>
      <c r="DQ35" s="127"/>
      <c r="DR35" s="127"/>
      <c r="DS35" s="127"/>
      <c r="DT35" s="127"/>
      <c r="DU35" s="127"/>
      <c r="DV35" s="127"/>
      <c r="DW35" s="127"/>
      <c r="DX35" s="127"/>
      <c r="DY35" s="127"/>
      <c r="DZ35" s="127"/>
      <c r="EA35" s="127"/>
      <c r="EB35" s="127"/>
      <c r="EC35" s="127"/>
      <c r="ED35" s="127"/>
      <c r="EE35" s="127"/>
      <c r="EF35" s="127"/>
      <c r="EG35" s="127"/>
      <c r="EH35" s="127"/>
      <c r="EI35" s="127"/>
      <c r="EJ35" s="127"/>
      <c r="EK35" s="127"/>
      <c r="EL35" s="127"/>
      <c r="EM35" s="127"/>
      <c r="EN35" s="127"/>
      <c r="EO35" s="127"/>
      <c r="EP35" s="127"/>
      <c r="EQ35" s="127"/>
      <c r="ER35" s="127"/>
      <c r="ES35" s="127"/>
      <c r="ET35" s="127"/>
      <c r="EU35" s="127"/>
      <c r="EV35" s="127"/>
      <c r="EW35" s="127"/>
      <c r="EX35" s="127"/>
      <c r="EY35" s="127"/>
      <c r="EZ35" s="127"/>
      <c r="FA35" s="127"/>
      <c r="FB35" s="127"/>
      <c r="FC35" s="127"/>
      <c r="FD35" s="127"/>
      <c r="FE35" s="127"/>
      <c r="FF35" s="127"/>
      <c r="FG35" s="127"/>
      <c r="FH35" s="127"/>
      <c r="FI35" s="127"/>
      <c r="FJ35" s="127"/>
      <c r="FK35" s="127"/>
      <c r="FL35" s="127"/>
      <c r="FM35" s="127"/>
      <c r="FN35" s="127"/>
      <c r="FO35" s="127"/>
      <c r="FP35" s="127"/>
      <c r="FQ35" s="127"/>
      <c r="FR35" s="127"/>
      <c r="FS35" s="127"/>
      <c r="FT35" s="127"/>
      <c r="FU35" s="127"/>
      <c r="FV35" s="127"/>
      <c r="FW35" s="127"/>
      <c r="FX35" s="127"/>
      <c r="FY35" s="127"/>
      <c r="FZ35" s="127"/>
      <c r="GA35" s="127"/>
      <c r="GB35" s="127"/>
      <c r="GC35" s="127"/>
      <c r="GD35" s="127"/>
      <c r="GE35" s="127"/>
      <c r="GF35" s="127"/>
      <c r="GG35" s="127"/>
      <c r="GH35" s="127"/>
      <c r="GI35" s="127"/>
      <c r="GJ35" s="127"/>
      <c r="GK35" s="127"/>
      <c r="GL35" s="127"/>
      <c r="GM35" s="127"/>
      <c r="GN35" s="127"/>
      <c r="GO35" s="127"/>
      <c r="GP35" s="127"/>
      <c r="GQ35" s="127"/>
      <c r="GR35" s="127"/>
      <c r="GS35" s="127"/>
      <c r="GT35" s="127"/>
      <c r="GU35" s="127"/>
      <c r="GV35" s="127"/>
      <c r="GW35" s="127"/>
      <c r="GX35" s="127"/>
      <c r="GY35" s="127"/>
      <c r="GZ35" s="127"/>
      <c r="HA35" s="127"/>
      <c r="HB35" s="127"/>
      <c r="HC35" s="127"/>
      <c r="HD35" s="127"/>
      <c r="HE35" s="127"/>
      <c r="HF35" s="127"/>
      <c r="HG35" s="127"/>
      <c r="HH35" s="127"/>
      <c r="HI35" s="127"/>
      <c r="HJ35" s="127"/>
      <c r="HK35" s="127"/>
      <c r="HL35" s="127"/>
      <c r="HM35" s="127"/>
      <c r="HN35" s="127"/>
      <c r="HO35" s="127"/>
      <c r="HP35" s="127"/>
      <c r="HQ35" s="127"/>
      <c r="HR35" s="127"/>
      <c r="HS35" s="127"/>
      <c r="HT35" s="127"/>
      <c r="HU35" s="127"/>
      <c r="HV35" s="127"/>
      <c r="HW35" s="127"/>
      <c r="HX35" s="127"/>
      <c r="HY35" s="127"/>
      <c r="HZ35" s="127"/>
      <c r="IA35" s="127"/>
      <c r="IB35" s="127"/>
      <c r="IC35" s="127"/>
      <c r="ID35" s="127"/>
      <c r="IE35" s="127"/>
      <c r="IF35" s="127"/>
      <c r="IG35" s="127"/>
      <c r="IH35" s="127"/>
      <c r="II35" s="127"/>
      <c r="IJ35" s="127"/>
      <c r="IK35" s="127"/>
      <c r="IL35" s="127"/>
      <c r="IM35" s="127"/>
      <c r="IN35" s="127"/>
      <c r="IO35" s="127"/>
      <c r="IP35" s="127"/>
      <c r="IQ35" s="127"/>
      <c r="IR35" s="127"/>
      <c r="IS35" s="127"/>
      <c r="IT35" s="127"/>
      <c r="IU35" s="127"/>
      <c r="IV35" s="127"/>
      <c r="IW35" s="127"/>
      <c r="IX35" s="127"/>
      <c r="IY35" s="127"/>
      <c r="IZ35" s="127"/>
      <c r="JA35" s="127"/>
      <c r="JB35" s="127"/>
      <c r="JC35" s="127"/>
      <c r="JD35" s="127"/>
      <c r="JE35" s="127"/>
      <c r="JF35" s="127"/>
      <c r="JG35" s="127"/>
      <c r="JH35" s="127"/>
      <c r="JI35" s="127"/>
      <c r="JJ35" s="127"/>
      <c r="JK35" s="127"/>
      <c r="JL35" s="127"/>
      <c r="JM35" s="127"/>
      <c r="JN35" s="127"/>
      <c r="JO35" s="127"/>
      <c r="JP35" s="127"/>
      <c r="JQ35" s="127"/>
      <c r="JR35" s="127"/>
      <c r="JS35" s="127"/>
      <c r="JT35" s="127"/>
      <c r="JU35" s="127"/>
      <c r="JV35" s="127"/>
      <c r="JW35" s="127"/>
      <c r="JX35" s="127"/>
      <c r="JY35" s="127"/>
      <c r="JZ35" s="127"/>
      <c r="KA35" s="127"/>
      <c r="KB35" s="127"/>
      <c r="KC35" s="127"/>
      <c r="KD35" s="127"/>
      <c r="KE35" s="127"/>
      <c r="KF35" s="127"/>
      <c r="KG35" s="127"/>
      <c r="KH35" s="127"/>
      <c r="KI35" s="127"/>
      <c r="KJ35" s="127"/>
      <c r="KK35" s="127"/>
      <c r="KL35" s="127"/>
      <c r="KM35" s="127"/>
      <c r="KN35" s="127"/>
      <c r="KO35" s="127"/>
      <c r="KP35" s="127"/>
      <c r="KQ35" s="127"/>
      <c r="KR35" s="127"/>
      <c r="KS35" s="127"/>
      <c r="KT35" s="127"/>
      <c r="KU35" s="127"/>
      <c r="KV35" s="127"/>
      <c r="KW35" s="127"/>
      <c r="KX35" s="127"/>
      <c r="KY35" s="127"/>
      <c r="KZ35" s="127"/>
      <c r="LA35" s="127"/>
      <c r="LB35" s="127"/>
      <c r="LC35" s="127"/>
      <c r="LD35" s="127"/>
      <c r="LE35" s="127"/>
      <c r="LF35" s="127"/>
      <c r="LG35" s="127"/>
      <c r="LH35" s="127"/>
      <c r="LI35" s="127"/>
      <c r="LJ35" s="127"/>
      <c r="LK35" s="127"/>
      <c r="LL35" s="127"/>
      <c r="LM35" s="127"/>
      <c r="LN35" s="127"/>
      <c r="LO35" s="127"/>
      <c r="LP35" s="127"/>
      <c r="LQ35" s="127"/>
      <c r="LR35" s="127"/>
      <c r="LS35" s="127"/>
      <c r="LT35" s="127"/>
      <c r="LU35" s="127"/>
      <c r="LV35" s="127"/>
      <c r="LW35" s="127"/>
      <c r="LX35" s="127"/>
      <c r="LY35" s="127"/>
      <c r="LZ35" s="127"/>
      <c r="MA35" s="127"/>
      <c r="MB35" s="127"/>
      <c r="MC35" s="127"/>
      <c r="MD35" s="127"/>
      <c r="ME35" s="127"/>
      <c r="MF35" s="127"/>
      <c r="MG35" s="127"/>
      <c r="MH35" s="127"/>
      <c r="MI35" s="127"/>
      <c r="MJ35" s="127"/>
      <c r="MK35" s="127"/>
      <c r="ML35" s="127"/>
      <c r="MM35" s="127"/>
      <c r="MN35" s="127"/>
      <c r="MO35" s="127"/>
      <c r="MP35" s="127"/>
      <c r="MQ35" s="127"/>
      <c r="MR35" s="127"/>
      <c r="MS35" s="127"/>
      <c r="MT35" s="127"/>
      <c r="MU35" s="127"/>
      <c r="MV35" s="127"/>
      <c r="MW35" s="127"/>
      <c r="MX35" s="127"/>
      <c r="MY35" s="127"/>
      <c r="MZ35" s="127"/>
      <c r="NA35" s="127"/>
      <c r="NB35" s="127"/>
      <c r="NC35" s="127"/>
      <c r="ND35" s="127"/>
      <c r="NE35" s="127"/>
      <c r="NF35" s="127"/>
      <c r="NG35" s="127"/>
      <c r="NH35" s="127"/>
      <c r="NI35" s="127"/>
      <c r="NJ35" s="127"/>
      <c r="NK35" s="127"/>
      <c r="NL35" s="127"/>
      <c r="NM35" s="127"/>
      <c r="NN35" s="127"/>
      <c r="NO35" s="127"/>
      <c r="NP35" s="127"/>
      <c r="NQ35" s="127"/>
      <c r="NR35" s="127"/>
      <c r="NS35" s="127"/>
      <c r="NT35" s="127"/>
      <c r="NU35" s="127"/>
      <c r="NV35" s="127"/>
      <c r="NW35" s="127"/>
      <c r="NX35" s="127"/>
      <c r="NY35" s="127"/>
      <c r="NZ35" s="127"/>
      <c r="OA35" s="127"/>
      <c r="OB35" s="127"/>
      <c r="OC35" s="127"/>
      <c r="OD35" s="127"/>
      <c r="OE35" s="127"/>
      <c r="OF35" s="127"/>
      <c r="OG35" s="127"/>
      <c r="OH35" s="127"/>
      <c r="OI35" s="127"/>
      <c r="OJ35" s="127"/>
      <c r="OK35" s="127"/>
      <c r="OL35" s="127"/>
      <c r="OM35" s="127"/>
      <c r="ON35" s="127"/>
      <c r="OO35" s="127"/>
      <c r="OP35" s="127"/>
      <c r="OQ35" s="127"/>
      <c r="OR35" s="127"/>
      <c r="OS35" s="127"/>
      <c r="OT35" s="127"/>
      <c r="OU35" s="127"/>
      <c r="OV35" s="127"/>
      <c r="OW35" s="127"/>
      <c r="OX35" s="127"/>
      <c r="OY35" s="127"/>
      <c r="OZ35" s="127"/>
      <c r="PA35" s="127"/>
      <c r="PB35" s="127"/>
      <c r="PC35" s="127"/>
      <c r="PD35" s="127"/>
      <c r="PE35" s="127"/>
      <c r="PF35" s="127"/>
      <c r="PG35" s="127"/>
      <c r="PH35" s="127"/>
      <c r="PI35" s="127"/>
      <c r="PJ35" s="127"/>
      <c r="PK35" s="127"/>
      <c r="PL35" s="127"/>
      <c r="PM35" s="127"/>
      <c r="PN35" s="127"/>
      <c r="PO35" s="127"/>
      <c r="PP35" s="127"/>
      <c r="PQ35" s="127"/>
      <c r="PR35" s="127"/>
      <c r="PS35" s="127"/>
      <c r="PT35" s="127"/>
      <c r="PU35" s="127"/>
      <c r="PV35" s="127"/>
      <c r="PW35" s="127"/>
      <c r="PX35" s="127"/>
      <c r="PY35" s="127"/>
      <c r="PZ35" s="127"/>
      <c r="QA35" s="127"/>
      <c r="QB35" s="127"/>
      <c r="QC35" s="127"/>
      <c r="QD35" s="127"/>
      <c r="QE35" s="127"/>
      <c r="QF35" s="127"/>
      <c r="QG35" s="127"/>
      <c r="QH35" s="127"/>
      <c r="QI35" s="127"/>
      <c r="QJ35" s="127"/>
      <c r="QK35" s="127"/>
      <c r="QL35" s="127"/>
      <c r="QM35" s="127"/>
      <c r="QN35" s="127"/>
      <c r="QO35" s="127"/>
      <c r="QP35" s="127"/>
      <c r="QQ35" s="127"/>
      <c r="QR35" s="127"/>
      <c r="QS35" s="127"/>
      <c r="QT35" s="127"/>
      <c r="QU35" s="127"/>
      <c r="QV35" s="127"/>
      <c r="QW35" s="127"/>
      <c r="QX35" s="127"/>
      <c r="QY35" s="127"/>
      <c r="QZ35" s="127"/>
      <c r="RA35" s="127"/>
      <c r="RB35" s="127"/>
      <c r="RC35" s="127"/>
      <c r="RD35" s="127"/>
      <c r="RE35" s="127"/>
      <c r="RF35" s="127"/>
      <c r="RG35" s="127"/>
      <c r="RH35" s="127"/>
      <c r="RI35" s="127"/>
      <c r="RJ35" s="127"/>
      <c r="RK35" s="127"/>
      <c r="RL35" s="127"/>
      <c r="RM35" s="127"/>
      <c r="RN35" s="127"/>
      <c r="RO35" s="127"/>
      <c r="RP35" s="127"/>
      <c r="RQ35" s="127"/>
      <c r="RR35" s="127"/>
      <c r="RS35" s="127"/>
      <c r="RT35" s="127"/>
      <c r="RU35" s="127"/>
      <c r="RV35" s="127"/>
      <c r="RW35" s="127"/>
      <c r="RX35" s="127"/>
      <c r="RY35" s="127"/>
      <c r="RZ35" s="127"/>
      <c r="SA35" s="127"/>
      <c r="SB35" s="127"/>
      <c r="SC35" s="127"/>
      <c r="SD35" s="127"/>
      <c r="SE35" s="127"/>
      <c r="SF35" s="127"/>
      <c r="SG35" s="127"/>
      <c r="SH35" s="127"/>
      <c r="SI35" s="127"/>
      <c r="SJ35" s="127"/>
      <c r="SK35" s="127"/>
      <c r="SL35" s="127"/>
      <c r="SM35" s="127"/>
      <c r="SN35" s="127"/>
      <c r="SO35" s="127"/>
      <c r="SP35" s="127"/>
      <c r="SQ35" s="127"/>
      <c r="SR35" s="127"/>
      <c r="SS35" s="127"/>
      <c r="ST35" s="127"/>
      <c r="SU35" s="127"/>
      <c r="SV35" s="127"/>
      <c r="SW35" s="127"/>
      <c r="SX35" s="127"/>
      <c r="SY35" s="127"/>
      <c r="SZ35" s="127"/>
      <c r="TA35" s="127"/>
      <c r="TB35" s="127"/>
      <c r="TC35" s="127"/>
      <c r="TD35" s="127"/>
      <c r="TE35" s="127"/>
      <c r="TF35" s="127"/>
      <c r="TG35" s="127"/>
      <c r="TH35" s="127"/>
      <c r="TI35" s="127"/>
      <c r="TJ35" s="127"/>
      <c r="TK35" s="127"/>
      <c r="TL35" s="127"/>
      <c r="TM35" s="127"/>
      <c r="TN35" s="127"/>
      <c r="TO35" s="127"/>
      <c r="TP35" s="127"/>
      <c r="TQ35" s="127"/>
      <c r="TR35" s="127"/>
      <c r="TS35" s="127"/>
      <c r="TT35" s="127"/>
      <c r="TU35" s="127"/>
      <c r="TV35" s="127"/>
      <c r="TW35" s="127"/>
      <c r="TX35" s="127"/>
      <c r="TY35" s="127"/>
      <c r="TZ35" s="127"/>
      <c r="UA35" s="127"/>
      <c r="UB35" s="127"/>
      <c r="UC35" s="127"/>
      <c r="UD35" s="127"/>
      <c r="UE35" s="127"/>
      <c r="UF35" s="127"/>
      <c r="UG35" s="127"/>
      <c r="UH35" s="127"/>
      <c r="UI35" s="127"/>
      <c r="UJ35" s="127"/>
      <c r="UK35" s="127"/>
      <c r="UL35" s="127"/>
      <c r="UM35" s="127"/>
      <c r="UN35" s="127"/>
      <c r="UO35" s="127"/>
      <c r="UP35" s="127"/>
      <c r="UQ35" s="127"/>
      <c r="UR35" s="127"/>
      <c r="US35" s="127"/>
      <c r="UT35" s="127"/>
      <c r="UU35" s="127"/>
      <c r="UV35" s="127"/>
      <c r="UW35" s="127"/>
      <c r="UX35" s="127"/>
      <c r="UY35" s="127"/>
      <c r="UZ35" s="127"/>
      <c r="VA35" s="127"/>
      <c r="VB35" s="127"/>
      <c r="VC35" s="127"/>
      <c r="VD35" s="127"/>
      <c r="VE35" s="127"/>
      <c r="VF35" s="127"/>
      <c r="VG35" s="127"/>
      <c r="VH35" s="127"/>
      <c r="VI35" s="127"/>
      <c r="VJ35" s="127"/>
      <c r="VK35" s="127"/>
      <c r="VL35" s="127"/>
      <c r="VM35" s="127"/>
      <c r="VN35" s="127"/>
      <c r="VO35" s="127"/>
      <c r="VP35" s="127"/>
      <c r="VQ35" s="127"/>
      <c r="VR35" s="127"/>
      <c r="VS35" s="127"/>
      <c r="VT35" s="127"/>
      <c r="VU35" s="127"/>
      <c r="VV35" s="127"/>
      <c r="VW35" s="127"/>
      <c r="VX35" s="127"/>
      <c r="VY35" s="127"/>
      <c r="VZ35" s="127"/>
      <c r="WA35" s="127"/>
      <c r="WB35" s="127"/>
      <c r="WC35" s="127"/>
      <c r="WD35" s="127"/>
      <c r="WE35" s="127"/>
      <c r="WF35" s="127"/>
      <c r="WG35" s="127"/>
      <c r="WH35" s="127"/>
      <c r="WI35" s="127"/>
      <c r="WJ35" s="127"/>
      <c r="WK35" s="127"/>
      <c r="WL35" s="127"/>
      <c r="WM35" s="127"/>
      <c r="WN35" s="127"/>
      <c r="WO35" s="127"/>
      <c r="WP35" s="127"/>
      <c r="WQ35" s="127"/>
      <c r="WR35" s="127"/>
      <c r="WS35" s="127"/>
      <c r="WT35" s="127"/>
      <c r="WU35" s="127"/>
      <c r="WV35" s="127"/>
      <c r="WW35" s="127"/>
      <c r="WX35" s="127"/>
      <c r="WY35" s="127"/>
      <c r="WZ35" s="127"/>
      <c r="XA35" s="127"/>
      <c r="XB35" s="127"/>
      <c r="XC35" s="127"/>
      <c r="XD35" s="127"/>
      <c r="XE35" s="127"/>
      <c r="XF35" s="127"/>
      <c r="XG35" s="127"/>
      <c r="XH35" s="127"/>
      <c r="XI35" s="127"/>
      <c r="XJ35" s="127"/>
      <c r="XK35" s="127"/>
      <c r="XL35" s="127"/>
      <c r="XM35" s="127"/>
      <c r="XN35" s="127"/>
      <c r="XO35" s="127"/>
      <c r="XP35" s="127"/>
      <c r="XQ35" s="127"/>
      <c r="XR35" s="127"/>
      <c r="XS35" s="127"/>
      <c r="XT35" s="127"/>
      <c r="XU35" s="127"/>
      <c r="XV35" s="127"/>
      <c r="XW35" s="127"/>
      <c r="XX35" s="127"/>
      <c r="XY35" s="127"/>
      <c r="XZ35" s="127"/>
      <c r="YA35" s="127"/>
      <c r="YB35" s="127"/>
      <c r="YC35" s="127"/>
      <c r="YD35" s="127"/>
      <c r="YE35" s="127"/>
      <c r="YF35" s="127"/>
      <c r="YG35" s="127"/>
      <c r="YH35" s="127"/>
      <c r="YI35" s="127"/>
      <c r="YJ35" s="127"/>
      <c r="YK35" s="127"/>
      <c r="YL35" s="127"/>
      <c r="YM35" s="127"/>
      <c r="YN35" s="127"/>
      <c r="YO35" s="127"/>
      <c r="YP35" s="127"/>
      <c r="YQ35" s="127"/>
      <c r="YR35" s="127"/>
      <c r="YS35" s="127"/>
      <c r="YT35" s="127"/>
      <c r="YU35" s="127"/>
      <c r="YV35" s="127"/>
      <c r="YW35" s="127"/>
      <c r="YX35" s="127"/>
      <c r="YY35" s="127"/>
      <c r="YZ35" s="127"/>
      <c r="ZA35" s="127"/>
      <c r="ZB35" s="127"/>
      <c r="ZC35" s="127"/>
      <c r="ZD35" s="127"/>
      <c r="ZE35" s="127"/>
      <c r="ZF35" s="127"/>
      <c r="ZG35" s="127"/>
      <c r="ZH35" s="127"/>
      <c r="ZI35" s="127"/>
      <c r="ZJ35" s="127"/>
      <c r="ZK35" s="127"/>
      <c r="ZL35" s="127"/>
      <c r="ZM35" s="127"/>
      <c r="ZN35" s="127"/>
      <c r="ZO35" s="127"/>
      <c r="ZP35" s="127"/>
      <c r="ZQ35" s="127"/>
      <c r="ZR35" s="127"/>
      <c r="ZS35" s="127"/>
      <c r="ZT35" s="127"/>
      <c r="ZU35" s="127"/>
      <c r="ZV35" s="127"/>
      <c r="ZW35" s="127"/>
      <c r="ZX35" s="127"/>
      <c r="ZY35" s="127"/>
      <c r="ZZ35" s="127"/>
      <c r="AAA35" s="127"/>
      <c r="AAB35" s="127"/>
      <c r="AAC35" s="127"/>
      <c r="AAD35" s="127"/>
      <c r="AAE35" s="127"/>
      <c r="AAF35" s="127"/>
      <c r="AAG35" s="127"/>
      <c r="AAH35" s="127"/>
      <c r="AAI35" s="127"/>
      <c r="AAJ35" s="127"/>
      <c r="AAK35" s="127"/>
      <c r="AAL35" s="127"/>
      <c r="AAM35" s="127"/>
      <c r="AAN35" s="127"/>
      <c r="AAO35" s="127"/>
      <c r="AAP35" s="127"/>
      <c r="AAQ35" s="127"/>
      <c r="AAR35" s="127"/>
      <c r="AAS35" s="127"/>
      <c r="AAT35" s="127"/>
      <c r="AAU35" s="127"/>
      <c r="AAV35" s="127"/>
      <c r="AAW35" s="127"/>
      <c r="AAX35" s="127"/>
      <c r="AAY35" s="127"/>
      <c r="AAZ35" s="127"/>
      <c r="ABA35" s="127"/>
      <c r="ABB35" s="127"/>
      <c r="ABC35" s="127"/>
      <c r="ABD35" s="127"/>
      <c r="ABE35" s="127"/>
      <c r="ABF35" s="127"/>
      <c r="ABG35" s="127"/>
      <c r="ABH35" s="127"/>
      <c r="ABI35" s="127"/>
      <c r="ABJ35" s="127"/>
      <c r="ABK35" s="127"/>
      <c r="ABL35" s="127"/>
      <c r="ABM35" s="127"/>
      <c r="ABN35" s="127"/>
      <c r="ABO35" s="127"/>
      <c r="ABP35" s="127"/>
      <c r="ABQ35" s="127"/>
      <c r="ABR35" s="127"/>
      <c r="ABS35" s="127"/>
      <c r="ABT35" s="127"/>
      <c r="ABU35" s="127"/>
      <c r="ABV35" s="127"/>
      <c r="ABW35" s="127"/>
      <c r="ABX35" s="127"/>
      <c r="ABY35" s="127"/>
      <c r="ABZ35" s="127"/>
      <c r="ACA35" s="127"/>
      <c r="ACB35" s="127"/>
      <c r="ACC35" s="127"/>
      <c r="ACD35" s="127"/>
      <c r="ACE35" s="127"/>
      <c r="ACF35" s="127"/>
      <c r="ACG35" s="127"/>
      <c r="ACH35" s="127"/>
      <c r="ACI35" s="127"/>
      <c r="ACJ35" s="127"/>
      <c r="ACK35" s="127"/>
      <c r="ACL35" s="127"/>
      <c r="ACM35" s="127"/>
      <c r="ACN35" s="127"/>
      <c r="ACO35" s="127"/>
      <c r="ACP35" s="127"/>
      <c r="ACQ35" s="127"/>
      <c r="ACR35" s="127"/>
      <c r="ACS35" s="127"/>
      <c r="ACT35" s="127"/>
      <c r="ACU35" s="127"/>
      <c r="ACV35" s="127"/>
      <c r="ACW35" s="127"/>
      <c r="ACX35" s="127"/>
      <c r="ACY35" s="127"/>
      <c r="ACZ35" s="127"/>
      <c r="ADA35" s="127"/>
      <c r="ADB35" s="127"/>
      <c r="ADC35" s="127"/>
      <c r="ADD35" s="127"/>
      <c r="ADE35" s="127"/>
      <c r="ADF35" s="127"/>
      <c r="ADG35" s="127"/>
      <c r="ADH35" s="127"/>
      <c r="ADI35" s="127"/>
      <c r="ADJ35" s="127"/>
      <c r="ADK35" s="127"/>
      <c r="ADL35" s="127"/>
      <c r="ADM35" s="127"/>
      <c r="ADN35" s="127"/>
      <c r="ADO35" s="127"/>
      <c r="ADP35" s="127"/>
      <c r="ADQ35" s="127"/>
      <c r="ADR35" s="127"/>
      <c r="ADS35" s="127"/>
      <c r="ADT35" s="127"/>
      <c r="ADU35" s="127"/>
      <c r="ADV35" s="127"/>
      <c r="ADW35" s="127"/>
      <c r="ADX35" s="127"/>
      <c r="ADY35" s="127"/>
      <c r="ADZ35" s="127"/>
      <c r="AEA35" s="127"/>
      <c r="AEB35" s="127"/>
      <c r="AEC35" s="127"/>
      <c r="AED35" s="127"/>
      <c r="AEE35" s="127"/>
      <c r="AEF35" s="127"/>
      <c r="AEG35" s="127"/>
      <c r="AEH35" s="127"/>
      <c r="AEI35" s="127"/>
      <c r="AEJ35" s="127"/>
      <c r="AEK35" s="127"/>
      <c r="AEL35" s="127"/>
      <c r="AEM35" s="127"/>
      <c r="AEN35" s="127"/>
      <c r="AEO35" s="127"/>
      <c r="AEP35" s="127"/>
      <c r="AEQ35" s="127"/>
      <c r="AER35" s="127"/>
      <c r="AES35" s="127"/>
      <c r="AET35" s="127"/>
      <c r="AEU35" s="127"/>
      <c r="AEV35" s="127"/>
      <c r="AEW35" s="127"/>
      <c r="AEX35" s="127"/>
      <c r="AEY35" s="127"/>
      <c r="AEZ35" s="127"/>
      <c r="AFA35" s="127"/>
      <c r="AFB35" s="127"/>
      <c r="AFC35" s="127"/>
      <c r="AFD35" s="127"/>
      <c r="AFE35" s="127"/>
      <c r="AFF35" s="127"/>
      <c r="AFG35" s="127"/>
      <c r="AFH35" s="127"/>
      <c r="AFI35" s="127"/>
      <c r="AFJ35" s="127"/>
      <c r="AFK35" s="127"/>
      <c r="AFL35" s="127"/>
      <c r="AFM35" s="127"/>
      <c r="AFN35" s="127"/>
      <c r="AFO35" s="127"/>
      <c r="AFP35" s="127"/>
      <c r="AFQ35" s="127"/>
      <c r="AFR35" s="127"/>
      <c r="AFS35" s="127"/>
      <c r="AFT35" s="127"/>
      <c r="AFU35" s="127"/>
      <c r="AFV35" s="127"/>
      <c r="AFW35" s="127"/>
      <c r="AFX35" s="127"/>
      <c r="AFY35" s="127"/>
      <c r="AFZ35" s="127"/>
      <c r="AGA35" s="127"/>
      <c r="AGB35" s="127"/>
      <c r="AGC35" s="127"/>
      <c r="AGD35" s="127"/>
      <c r="AGE35" s="127"/>
      <c r="AGF35" s="127"/>
      <c r="AGG35" s="127"/>
      <c r="AGH35" s="127"/>
      <c r="AGI35" s="127"/>
      <c r="AGJ35" s="127"/>
      <c r="AGK35" s="127"/>
      <c r="AGL35" s="127"/>
      <c r="AGM35" s="127"/>
      <c r="AGN35" s="127"/>
      <c r="AGO35" s="127"/>
      <c r="AGP35" s="127"/>
      <c r="AGQ35" s="127"/>
      <c r="AGR35" s="127"/>
      <c r="AGS35" s="127"/>
      <c r="AGT35" s="127"/>
      <c r="AGU35" s="127"/>
      <c r="AGV35" s="127"/>
      <c r="AGW35" s="127"/>
      <c r="AGX35" s="127"/>
      <c r="AGY35" s="127"/>
      <c r="AGZ35" s="127"/>
      <c r="AHA35" s="127"/>
      <c r="AHB35" s="127"/>
      <c r="AHC35" s="127"/>
      <c r="AHD35" s="127"/>
      <c r="AHE35" s="127"/>
      <c r="AHF35" s="127"/>
      <c r="AHG35" s="127"/>
      <c r="AHH35" s="127"/>
      <c r="AHI35" s="127"/>
      <c r="AHJ35" s="127"/>
      <c r="AHK35" s="127"/>
      <c r="AHL35" s="127"/>
      <c r="AHM35" s="127"/>
      <c r="AHN35" s="127"/>
      <c r="AHO35" s="127"/>
      <c r="AHP35" s="127"/>
      <c r="AHQ35" s="127"/>
      <c r="AHR35" s="127"/>
      <c r="AHS35" s="127"/>
      <c r="AHT35" s="127"/>
      <c r="AHU35" s="127"/>
      <c r="AHV35" s="127"/>
      <c r="AHW35" s="127"/>
      <c r="AHX35" s="127"/>
      <c r="AHY35" s="127"/>
      <c r="AHZ35" s="127"/>
      <c r="AIA35" s="127"/>
      <c r="AIB35" s="127"/>
      <c r="AIC35" s="127"/>
      <c r="AID35" s="127"/>
      <c r="AIE35" s="127"/>
      <c r="AIF35" s="127"/>
      <c r="AIG35" s="127"/>
      <c r="AIH35" s="127"/>
      <c r="AII35" s="127"/>
      <c r="AIJ35" s="127"/>
      <c r="AIK35" s="127"/>
      <c r="AIL35" s="127"/>
      <c r="AIM35" s="127"/>
      <c r="AIN35" s="127"/>
      <c r="AIO35" s="127"/>
      <c r="AIP35" s="127"/>
      <c r="AIQ35" s="127"/>
      <c r="AIR35" s="127"/>
      <c r="AIS35" s="127"/>
      <c r="AIT35" s="127"/>
      <c r="AIU35" s="127"/>
      <c r="AIV35" s="127"/>
      <c r="AIW35" s="127"/>
      <c r="AIX35" s="127"/>
      <c r="AIY35" s="127"/>
      <c r="AIZ35" s="127"/>
      <c r="AJA35" s="127"/>
      <c r="AJB35" s="127"/>
      <c r="AJC35" s="127"/>
      <c r="AJD35" s="127"/>
      <c r="AJE35" s="127"/>
      <c r="AJF35" s="127"/>
      <c r="AJG35" s="127"/>
      <c r="AJH35" s="127"/>
      <c r="AJI35" s="127"/>
      <c r="AJJ35" s="127"/>
      <c r="AJK35" s="127"/>
      <c r="AJL35" s="127"/>
      <c r="AJM35" s="127"/>
      <c r="AJN35" s="127"/>
      <c r="AJO35" s="127"/>
      <c r="AJP35" s="127"/>
      <c r="AJQ35" s="127"/>
      <c r="AJR35" s="127"/>
      <c r="AJS35" s="127"/>
      <c r="AJT35" s="127"/>
      <c r="AJU35" s="127"/>
      <c r="AJV35" s="127"/>
      <c r="AJW35" s="127"/>
      <c r="AJX35" s="127"/>
      <c r="AJY35" s="127"/>
      <c r="AJZ35" s="127"/>
      <c r="AKA35" s="127"/>
      <c r="AKB35" s="127"/>
      <c r="AKC35" s="127"/>
      <c r="AKD35" s="127"/>
      <c r="AKE35" s="127"/>
      <c r="AKF35" s="127"/>
      <c r="AKG35" s="127"/>
      <c r="AKH35" s="127"/>
      <c r="AKI35" s="127"/>
      <c r="AKJ35" s="127"/>
      <c r="AKK35" s="127"/>
      <c r="AKL35" s="127"/>
      <c r="AKM35" s="127"/>
      <c r="AKN35" s="127"/>
      <c r="AKO35" s="127"/>
      <c r="AKP35" s="127"/>
      <c r="AKQ35" s="127"/>
      <c r="AKR35" s="127"/>
      <c r="AKS35" s="127"/>
      <c r="AKT35" s="127"/>
      <c r="AKU35" s="127"/>
      <c r="AKV35" s="127"/>
      <c r="AKW35" s="127"/>
      <c r="AKX35" s="127"/>
      <c r="AKY35" s="127"/>
      <c r="AKZ35" s="127"/>
      <c r="ALA35" s="127"/>
      <c r="ALB35" s="127"/>
      <c r="ALC35" s="127"/>
      <c r="ALD35" s="127"/>
      <c r="ALE35" s="127"/>
      <c r="ALF35" s="127"/>
      <c r="ALG35" s="127"/>
      <c r="ALH35" s="127"/>
      <c r="ALI35" s="127"/>
      <c r="ALJ35" s="127"/>
      <c r="ALK35" s="127"/>
      <c r="ALL35" s="127"/>
      <c r="ALM35" s="127"/>
      <c r="ALN35" s="127"/>
      <c r="ALO35" s="127"/>
      <c r="ALP35" s="127"/>
      <c r="ALQ35" s="127"/>
      <c r="ALR35" s="127"/>
      <c r="ALS35" s="127"/>
      <c r="ALT35" s="127"/>
      <c r="ALU35" s="127"/>
      <c r="ALV35" s="127"/>
      <c r="ALW35" s="127"/>
      <c r="ALX35" s="127"/>
      <c r="ALY35" s="127"/>
      <c r="ALZ35" s="127"/>
      <c r="AMA35" s="127"/>
      <c r="AMB35" s="127"/>
      <c r="AMC35" s="127"/>
      <c r="AMD35" s="127"/>
      <c r="AME35" s="127"/>
      <c r="AMF35" s="127"/>
      <c r="AMG35" s="127"/>
      <c r="AMH35" s="127"/>
      <c r="AMI35" s="127"/>
      <c r="AMJ35" s="127"/>
      <c r="AMK35" s="127"/>
      <c r="AML35" s="127"/>
      <c r="AMM35" s="127"/>
      <c r="AMN35" s="127"/>
      <c r="AMO35" s="127"/>
      <c r="AMP35" s="127"/>
      <c r="AMQ35" s="127"/>
      <c r="AMR35" s="127"/>
      <c r="AMS35" s="127"/>
      <c r="AMT35" s="127"/>
      <c r="AMU35" s="127"/>
      <c r="AMV35" s="127"/>
      <c r="AMW35" s="127"/>
      <c r="AMX35" s="127"/>
      <c r="AMY35" s="127"/>
      <c r="AMZ35" s="127"/>
      <c r="ANA35" s="127"/>
      <c r="ANB35" s="127"/>
      <c r="ANC35" s="127"/>
      <c r="AND35" s="127"/>
      <c r="ANE35" s="127"/>
      <c r="ANF35" s="127"/>
      <c r="ANG35" s="127"/>
      <c r="ANH35" s="127"/>
      <c r="ANI35" s="127"/>
      <c r="ANJ35" s="127"/>
      <c r="ANK35" s="127"/>
      <c r="ANL35" s="127"/>
      <c r="ANM35" s="127"/>
      <c r="ANN35" s="127"/>
      <c r="ANO35" s="127"/>
      <c r="ANP35" s="127"/>
      <c r="ANQ35" s="127"/>
      <c r="ANR35" s="127"/>
      <c r="ANS35" s="127"/>
      <c r="ANT35" s="127"/>
      <c r="ANU35" s="127"/>
      <c r="ANV35" s="127"/>
      <c r="ANW35" s="127"/>
      <c r="ANX35" s="127"/>
      <c r="ANY35" s="127"/>
      <c r="ANZ35" s="127"/>
      <c r="AOA35" s="127"/>
      <c r="AOB35" s="127"/>
      <c r="AOC35" s="127"/>
    </row>
    <row r="36" spans="1:1069" x14ac:dyDescent="0.25">
      <c r="A36" s="199"/>
      <c r="B36" s="188" t="s">
        <v>122</v>
      </c>
      <c r="C36" s="156" t="s">
        <v>119</v>
      </c>
      <c r="D36" s="159">
        <v>8271.39</v>
      </c>
      <c r="E36" s="158">
        <v>8271.39</v>
      </c>
    </row>
    <row r="37" spans="1:1069" ht="15.75" thickBot="1" x14ac:dyDescent="0.3">
      <c r="A37" s="199"/>
      <c r="B37" s="190"/>
      <c r="C37" s="148" t="s">
        <v>120</v>
      </c>
      <c r="D37" s="150">
        <v>34413.480000000003</v>
      </c>
      <c r="E37" s="149">
        <v>34413.480000000003</v>
      </c>
    </row>
    <row r="38" spans="1:1069" x14ac:dyDescent="0.25">
      <c r="A38" s="200"/>
      <c r="B38" s="170" t="s">
        <v>123</v>
      </c>
      <c r="C38" s="162"/>
      <c r="D38" s="169">
        <f>+D39+D40+D42+D43+D44</f>
        <v>60120.584999999999</v>
      </c>
      <c r="E38" s="164">
        <f>SUM(E39+E40+E41+E42+E43+E44)</f>
        <v>60120.59</v>
      </c>
    </row>
    <row r="39" spans="1:1069" ht="60" customHeight="1" x14ac:dyDescent="0.25">
      <c r="A39" s="180" t="s">
        <v>124</v>
      </c>
      <c r="B39" s="137" t="s">
        <v>125</v>
      </c>
      <c r="C39" s="139" t="s">
        <v>126</v>
      </c>
      <c r="D39" s="167">
        <v>15470</v>
      </c>
      <c r="E39" s="145">
        <v>15470</v>
      </c>
    </row>
    <row r="40" spans="1:1069" x14ac:dyDescent="0.25">
      <c r="A40" s="181"/>
      <c r="B40" s="180" t="s">
        <v>127</v>
      </c>
      <c r="C40" s="141" t="s">
        <v>126</v>
      </c>
      <c r="D40" s="178">
        <v>35000</v>
      </c>
      <c r="E40" s="145">
        <v>32530</v>
      </c>
    </row>
    <row r="41" spans="1:1069" ht="24" customHeight="1" x14ac:dyDescent="0.25">
      <c r="A41" s="181"/>
      <c r="B41" s="182"/>
      <c r="C41" s="141" t="s">
        <v>121</v>
      </c>
      <c r="D41" s="179"/>
      <c r="E41" s="145">
        <v>2470</v>
      </c>
    </row>
    <row r="42" spans="1:1069" ht="39" customHeight="1" x14ac:dyDescent="0.25">
      <c r="A42" s="181"/>
      <c r="B42" s="163" t="s">
        <v>128</v>
      </c>
      <c r="C42" s="141" t="s">
        <v>109</v>
      </c>
      <c r="D42" s="144">
        <v>5665</v>
      </c>
      <c r="E42" s="145">
        <v>5665</v>
      </c>
    </row>
    <row r="43" spans="1:1069" x14ac:dyDescent="0.25">
      <c r="A43" s="181"/>
      <c r="B43" s="142" t="s">
        <v>122</v>
      </c>
      <c r="C43" s="141" t="s">
        <v>119</v>
      </c>
      <c r="D43" s="144">
        <v>1122.7</v>
      </c>
      <c r="E43" s="145">
        <v>1122.7</v>
      </c>
    </row>
    <row r="44" spans="1:1069" x14ac:dyDescent="0.25">
      <c r="A44" s="182"/>
      <c r="B44" s="157"/>
      <c r="C44" s="141" t="s">
        <v>120</v>
      </c>
      <c r="D44" s="144">
        <v>2862.8850000000002</v>
      </c>
      <c r="E44" s="145">
        <v>2862.89</v>
      </c>
    </row>
  </sheetData>
  <autoFilter ref="A10:E45" xr:uid="{BB40084A-F7B0-4597-AE01-82467B6CA902}"/>
  <mergeCells count="16">
    <mergeCell ref="A2:D2"/>
    <mergeCell ref="D40:D41"/>
    <mergeCell ref="A39:A44"/>
    <mergeCell ref="B40:B41"/>
    <mergeCell ref="E13:E16"/>
    <mergeCell ref="D13:D16"/>
    <mergeCell ref="D17:D22"/>
    <mergeCell ref="D23:D24"/>
    <mergeCell ref="B17:B22"/>
    <mergeCell ref="B23:B24"/>
    <mergeCell ref="B28:B35"/>
    <mergeCell ref="B36:B37"/>
    <mergeCell ref="D28:D35"/>
    <mergeCell ref="A11:A38"/>
    <mergeCell ref="B11:B12"/>
    <mergeCell ref="B13:B16"/>
  </mergeCells>
  <pageMargins left="0.75" right="0.75" top="1" bottom="1" header="0.5" footer="0.5"/>
  <pageSetup paperSize="9" scale="6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7756ab31655b06bf8e0fcba8adbbff5c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27b71a969902f2a26b14ce6b28c5feb5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dexed="true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B0500 - Ecuador - Quito</OfficeCountry>
    <DocumentStatus xmlns="d9cf0e28-81d2-4dc7-8b10-820d80ed680d">Approved</DocumentStatus>
    <DocCoverageEndDate xmlns="d9cf0e28-81d2-4dc7-8b10-820d80ed680d">2024-12-31T05:00:00+00:00</DocCoverageEndDate>
    <TaxCatchAll xmlns="e91d5986-7c29-4ed1-8a54-b8fb378ed474" xsi:nil="true"/>
    <FunctionalArea xmlns="d9cf0e28-81d2-4dc7-8b10-820d80ed680d">Programme and Project</FunctionalArea>
    <FileNameDescription xmlns="d9cf0e28-81d2-4dc7-8b10-820d80ed680d">AOP -POA 2024</FileNameDescription>
    <ProjectNumber xmlns="d9cf0e28-81d2-4dc7-8b10-820d80ed680d">00110105</ProjectNumber>
    <DocumentType xmlns="d9cf0e28-81d2-4dc7-8b10-820d80ed680d">Annual/Multi-year Workplan</DocumentType>
    <Language xmlns="d9cf0e28-81d2-4dc7-8b10-820d80ed680d">Spanish</Language>
    <AuthorName xmlns="d9cf0e28-81d2-4dc7-8b10-820d80ed680d">UNDP</AuthorName>
    <DocumentCategory xmlns="d9cf0e28-81d2-4dc7-8b10-820d80ed680d">Project</DocumentCategory>
    <OperatingUnit xmlns="d9cf0e28-81d2-4dc7-8b10-820d80ed680d">UNDP-ECU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>Environment and Energy</FocusArea>
    <DocCoverageStartDate xmlns="d9cf0e28-81d2-4dc7-8b10-820d80ed680d">2024-01-01T05:00:00+00:00</DocCoverageStartDate>
    <FileClassificationMode xmlns="d9cf0e28-81d2-4dc7-8b10-820d80ed680d">Public</FileClassificationMode>
    <OutputNumber xmlns="d9cf0e28-81d2-4dc7-8b10-820d80ed680d">00110180</OutputNumber>
  </documentManagement>
</p:properties>
</file>

<file path=customXml/itemProps1.xml><?xml version="1.0" encoding="utf-8"?>
<ds:datastoreItem xmlns:ds="http://schemas.openxmlformats.org/officeDocument/2006/customXml" ds:itemID="{C173CAC8-FA23-46A8-A6BB-24CE84849AF5}"/>
</file>

<file path=customXml/itemProps2.xml><?xml version="1.0" encoding="utf-8"?>
<ds:datastoreItem xmlns:ds="http://schemas.openxmlformats.org/officeDocument/2006/customXml" ds:itemID="{456B4410-EB4C-4E65-856D-FA28879CBFAE}"/>
</file>

<file path=customXml/itemProps3.xml><?xml version="1.0" encoding="utf-8"?>
<ds:datastoreItem xmlns:ds="http://schemas.openxmlformats.org/officeDocument/2006/customXml" ds:itemID="{8EF5F8C6-44E4-4656-A121-F03CC8D217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AOP (2)</vt:lpstr>
      <vt:lpstr>AOP (3)</vt:lpstr>
      <vt:lpstr>AOP.FASE2. 2024</vt:lpstr>
      <vt:lpstr>Hoja1</vt:lpstr>
      <vt:lpstr>F2- POA</vt:lpstr>
      <vt:lpstr>'AOP (2)'!Área_de_impresión</vt:lpstr>
      <vt:lpstr>'AOP (3)'!Área_de_impresión</vt:lpstr>
      <vt:lpstr>'AOP.FASE2. 2024'!Área_de_impresión</vt:lpstr>
      <vt:lpstr>'F2- POA'!Área_de_impresión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AOP -POA 2024</dc:title>
  <dc:creator>Johanna Veloz</dc:creator>
  <cp:lastModifiedBy>Johanna Veloz</cp:lastModifiedBy>
  <cp:lastPrinted>2025-01-14T18:59:00Z</cp:lastPrinted>
  <dcterms:created xsi:type="dcterms:W3CDTF">2024-11-15T19:46:10Z</dcterms:created>
  <dcterms:modified xsi:type="dcterms:W3CDTF">2025-04-29T00:08:51Z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</Properties>
</file>